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charts/chartEx2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Dropbox\Research\Organic Print\Digital Biomimetics\Private\Presentations\"/>
    </mc:Choice>
  </mc:AlternateContent>
  <xr:revisionPtr revIDLastSave="0" documentId="13_ncr:1_{45A31303-A1E6-4B42-B473-FA5BD0785371}" xr6:coauthVersionLast="45" xr6:coauthVersionMax="45" xr10:uidLastSave="{00000000-0000-0000-0000-000000000000}"/>
  <bookViews>
    <workbookView xWindow="-96" yWindow="504" windowWidth="23232" windowHeight="12552" tabRatio="512" xr2:uid="{8443B35A-6F77-42E8-ADE0-0DFEDD0DE9F3}"/>
  </bookViews>
  <sheets>
    <sheet name="2k2" sheetId="5" r:id="rId1"/>
    <sheet name="2k3" sheetId="3" r:id="rId2"/>
  </sheets>
  <definedNames>
    <definedName name="__k" localSheetId="0">'2k2'!$K$4</definedName>
    <definedName name="__k">'2k3'!$K$4</definedName>
    <definedName name="__n" localSheetId="0">'2k2'!$K$6</definedName>
    <definedName name="__n">'2k3'!$K$6</definedName>
    <definedName name="_a" localSheetId="0">'2k2'!$E$54</definedName>
    <definedName name="_a">'2k3'!$E$62</definedName>
    <definedName name="_ab" localSheetId="0">'2k2'!$G$54</definedName>
    <definedName name="_ab">'2k3'!$H$62</definedName>
    <definedName name="_abc" localSheetId="0">'2k2'!$K$54</definedName>
    <definedName name="_abc">'2k3'!$K$62</definedName>
    <definedName name="_b" localSheetId="0">'2k2'!$F$54</definedName>
    <definedName name="_b">'2k3'!$F$62</definedName>
    <definedName name="_bc" localSheetId="0">'2k2'!$I$54</definedName>
    <definedName name="_bc">'2k3'!$I$62</definedName>
    <definedName name="_c" localSheetId="0">'2k2'!#REF!</definedName>
    <definedName name="_c">'2k3'!$G$62</definedName>
    <definedName name="_ca" localSheetId="0">'2k2'!$J$54</definedName>
    <definedName name="_ca">'2k3'!$J$62</definedName>
    <definedName name="_o" localSheetId="0">'2k2'!$D$54</definedName>
    <definedName name="_o">'2k3'!$D$62</definedName>
    <definedName name="_xlchart.v1.0" hidden="1">'2k2'!$K$79:$K$90</definedName>
    <definedName name="_xlchart.v1.1" hidden="1">'2k2'!$L$79:$L$94</definedName>
    <definedName name="_xlchart.v1.2" hidden="1">'2k3'!$L$87:$L$102</definedName>
    <definedName name="A_" localSheetId="0">'2k2'!$P$55</definedName>
    <definedName name="A_">'2k3'!$P$63</definedName>
    <definedName name="A__" localSheetId="0">'2k2'!$V$67</definedName>
    <definedName name="A__">'2k3'!$V$75</definedName>
    <definedName name="B_" localSheetId="0">'2k2'!$P$59</definedName>
    <definedName name="B_">'2k3'!$P$65</definedName>
    <definedName name="B__" localSheetId="0">'2k2'!$V$71</definedName>
    <definedName name="B__">'2k3'!$V$77</definedName>
    <definedName name="C_" localSheetId="0">'2k2'!#REF!</definedName>
    <definedName name="C_">'2k3'!$P$67</definedName>
    <definedName name="C__" localSheetId="0">'2k2'!#REF!</definedName>
    <definedName name="C__">'2k3'!$V$79</definedName>
    <definedName name="f_a" localSheetId="0">'2k2'!$C$4</definedName>
    <definedName name="f_a">'2k3'!$C$4</definedName>
    <definedName name="f_a_max" localSheetId="0">'2k2'!$F$4</definedName>
    <definedName name="f_a_max">'2k3'!$F$4</definedName>
    <definedName name="f_a_min" localSheetId="0">'2k2'!$E$4</definedName>
    <definedName name="f_a_min">'2k3'!$E$4</definedName>
    <definedName name="f_a_units" localSheetId="0">'2k2'!$G$4</definedName>
    <definedName name="f_a_units">'2k3'!$G$4</definedName>
    <definedName name="f_b" localSheetId="0">'2k2'!$C$5</definedName>
    <definedName name="f_b">'2k3'!$C$5</definedName>
    <definedName name="f_b_max" localSheetId="0">'2k2'!$F$5</definedName>
    <definedName name="f_b_max">'2k3'!$F$5</definedName>
    <definedName name="f_b_min" localSheetId="0">'2k2'!$E$5</definedName>
    <definedName name="f_b_min">'2k3'!$E$5</definedName>
    <definedName name="f_b_units" localSheetId="0">'2k2'!$G$5</definedName>
    <definedName name="f_b_units">'2k3'!$G$5</definedName>
    <definedName name="f_c" localSheetId="0">'2k2'!$C$6</definedName>
    <definedName name="f_c">'2k3'!$C$6</definedName>
    <definedName name="f_c_max" localSheetId="0">'2k2'!$F$6</definedName>
    <definedName name="f_c_max">'2k3'!$F$6</definedName>
    <definedName name="f_c_min" localSheetId="0">'2k2'!$E$6</definedName>
    <definedName name="f_c_min">'2k3'!$E$6</definedName>
    <definedName name="f_c_units" localSheetId="0">'2k2'!$G$6</definedName>
    <definedName name="f_c_units">'2k3'!$G$6</definedName>
    <definedName name="r_name" localSheetId="0">'2k2'!$C$15</definedName>
    <definedName name="r_name">'2k3'!$C$19</definedName>
    <definedName name="r_symbol" localSheetId="0">'2k2'!$C$16</definedName>
    <definedName name="r_symbol">'2k3'!$C$20</definedName>
    <definedName name="r_units" localSheetId="0">'2k2'!$C$17</definedName>
    <definedName name="r_units">'2k3'!$C$21</definedName>
    <definedName name="solver_adj" localSheetId="0" hidden="1">'2k2'!$P$55,'2k2'!$P$59,'2k2'!#REF!</definedName>
    <definedName name="solver_adj" localSheetId="1" hidden="1">'2k3'!$P$63,'2k3'!$P$65,'2k3'!$P$67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ng" localSheetId="0" hidden="1">1</definedName>
    <definedName name="solver_eng" localSheetId="1" hidden="1">1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lhs1" localSheetId="0" hidden="1">'2k2'!$P$55</definedName>
    <definedName name="solver_lhs1" localSheetId="1" hidden="1">'2k3'!$P$63</definedName>
    <definedName name="solver_lhs2" localSheetId="0" hidden="1">'2k2'!$P$55</definedName>
    <definedName name="solver_lhs2" localSheetId="1" hidden="1">'2k3'!$P$63</definedName>
    <definedName name="solver_lhs3" localSheetId="0" hidden="1">'2k2'!$P$59</definedName>
    <definedName name="solver_lhs3" localSheetId="1" hidden="1">'2k3'!$P$65</definedName>
    <definedName name="solver_lhs4" localSheetId="0" hidden="1">'2k2'!$P$59</definedName>
    <definedName name="solver_lhs4" localSheetId="1" hidden="1">'2k3'!$P$65</definedName>
    <definedName name="solver_lhs5" localSheetId="0" hidden="1">'2k2'!#REF!</definedName>
    <definedName name="solver_lhs5" localSheetId="1" hidden="1">'2k3'!$P$67</definedName>
    <definedName name="solver_lhs6" localSheetId="0" hidden="1">'2k2'!#REF!</definedName>
    <definedName name="solver_lhs6" localSheetId="1" hidden="1">'2k3'!$P$67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od" localSheetId="1" hidden="1">2147483647</definedName>
    <definedName name="solver_num" localSheetId="0" hidden="1">6</definedName>
    <definedName name="solver_num" localSheetId="1" hidden="1">6</definedName>
    <definedName name="solver_nwt" localSheetId="0" hidden="1">1</definedName>
    <definedName name="solver_nwt" localSheetId="1" hidden="1">1</definedName>
    <definedName name="solver_opt" localSheetId="0" hidden="1">'2k2'!$X$57</definedName>
    <definedName name="solver_opt" localSheetId="1" hidden="1">'2k3'!$X$65</definedName>
    <definedName name="solver_pre" localSheetId="0" hidden="1">0.000001</definedName>
    <definedName name="solver_pre" localSheetId="1" hidden="1">0.000001</definedName>
    <definedName name="solver_rbv" localSheetId="0" hidden="1">1</definedName>
    <definedName name="solver_rbv" localSheetId="1" hidden="1">1</definedName>
    <definedName name="solver_rel1" localSheetId="0" hidden="1">1</definedName>
    <definedName name="solver_rel1" localSheetId="1" hidden="1">1</definedName>
    <definedName name="solver_rel2" localSheetId="0" hidden="1">3</definedName>
    <definedName name="solver_rel2" localSheetId="1" hidden="1">3</definedName>
    <definedName name="solver_rel3" localSheetId="0" hidden="1">1</definedName>
    <definedName name="solver_rel3" localSheetId="1" hidden="1">1</definedName>
    <definedName name="solver_rel4" localSheetId="0" hidden="1">3</definedName>
    <definedName name="solver_rel4" localSheetId="1" hidden="1">3</definedName>
    <definedName name="solver_rel5" localSheetId="0" hidden="1">1</definedName>
    <definedName name="solver_rel5" localSheetId="1" hidden="1">1</definedName>
    <definedName name="solver_rel6" localSheetId="0" hidden="1">3</definedName>
    <definedName name="solver_rel6" localSheetId="1" hidden="1">3</definedName>
    <definedName name="solver_rhs1" localSheetId="0" hidden="1">1</definedName>
    <definedName name="solver_rhs1" localSheetId="1" hidden="1">1</definedName>
    <definedName name="solver_rhs2" localSheetId="0" hidden="1">-1</definedName>
    <definedName name="solver_rhs2" localSheetId="1" hidden="1">-1</definedName>
    <definedName name="solver_rhs3" localSheetId="0" hidden="1">1</definedName>
    <definedName name="solver_rhs3" localSheetId="1" hidden="1">1</definedName>
    <definedName name="solver_rhs4" localSheetId="0" hidden="1">-1</definedName>
    <definedName name="solver_rhs4" localSheetId="1" hidden="1">-1</definedName>
    <definedName name="solver_rhs5" localSheetId="0" hidden="1">1</definedName>
    <definedName name="solver_rhs5" localSheetId="1" hidden="1">1</definedName>
    <definedName name="solver_rhs6" localSheetId="0" hidden="1">-1</definedName>
    <definedName name="solver_rhs6" localSheetId="1" hidden="1">-1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1</definedName>
    <definedName name="solver_scl" localSheetId="1" hidden="1">1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1</definedName>
    <definedName name="solver_typ" localSheetId="1" hidden="1">1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5" l="1"/>
  <c r="C71" i="5"/>
  <c r="C67" i="5"/>
  <c r="C66" i="5"/>
  <c r="F74" i="5"/>
  <c r="H73" i="5"/>
  <c r="D73" i="5"/>
  <c r="J86" i="3"/>
  <c r="J40" i="5"/>
  <c r="J35" i="5"/>
  <c r="G38" i="5"/>
  <c r="G37" i="5"/>
  <c r="G36" i="5"/>
  <c r="G35" i="5"/>
  <c r="H17" i="5"/>
  <c r="H16" i="5"/>
  <c r="Q11" i="5"/>
  <c r="Q12" i="5"/>
  <c r="Q13" i="5"/>
  <c r="Q10" i="5"/>
  <c r="P11" i="5"/>
  <c r="P12" i="5"/>
  <c r="P13" i="5"/>
  <c r="P10" i="5"/>
  <c r="O11" i="5"/>
  <c r="O12" i="5"/>
  <c r="O13" i="5"/>
  <c r="O10" i="5"/>
  <c r="A80" i="5"/>
  <c r="A81" i="5" s="1"/>
  <c r="C79" i="5"/>
  <c r="B79" i="5"/>
  <c r="H78" i="5"/>
  <c r="I78" i="5" s="1"/>
  <c r="X70" i="5"/>
  <c r="V71" i="5"/>
  <c r="T71" i="5"/>
  <c r="S71" i="5"/>
  <c r="Q71" i="5"/>
  <c r="X68" i="5"/>
  <c r="P70" i="5"/>
  <c r="V67" i="5"/>
  <c r="T67" i="5"/>
  <c r="S67" i="5"/>
  <c r="Q67" i="5"/>
  <c r="P66" i="5"/>
  <c r="X58" i="5"/>
  <c r="V59" i="5"/>
  <c r="T59" i="5"/>
  <c r="S59" i="5"/>
  <c r="X56" i="5"/>
  <c r="F65" i="5" s="1"/>
  <c r="P58" i="5"/>
  <c r="V55" i="5"/>
  <c r="T55" i="5"/>
  <c r="S55" i="5"/>
  <c r="P54" i="5"/>
  <c r="D54" i="5"/>
  <c r="R41" i="5"/>
  <c r="B40" i="5"/>
  <c r="B39" i="5" s="1"/>
  <c r="F38" i="5"/>
  <c r="F37" i="5"/>
  <c r="F36" i="5"/>
  <c r="F35" i="5"/>
  <c r="R11" i="5"/>
  <c r="S11" i="5" s="1"/>
  <c r="T10" i="5"/>
  <c r="S10" i="5"/>
  <c r="X9" i="5"/>
  <c r="Y9" i="5" s="1"/>
  <c r="J9" i="5"/>
  <c r="K9" i="5" s="1"/>
  <c r="L9" i="5" s="1"/>
  <c r="M9" i="5" s="1"/>
  <c r="N9" i="5" s="1"/>
  <c r="K5" i="5"/>
  <c r="I35" i="5" s="1"/>
  <c r="B80" i="5" l="1"/>
  <c r="T11" i="5"/>
  <c r="X11" i="5" s="1"/>
  <c r="S35" i="5"/>
  <c r="X10" i="5"/>
  <c r="C80" i="5"/>
  <c r="H38" i="5"/>
  <c r="I38" i="5" s="1"/>
  <c r="G54" i="5" s="1"/>
  <c r="G79" i="5"/>
  <c r="H79" i="5"/>
  <c r="K78" i="5"/>
  <c r="R12" i="5"/>
  <c r="R13" i="5" s="1"/>
  <c r="R14" i="5" s="1"/>
  <c r="R15" i="5" s="1"/>
  <c r="R16" i="5" s="1"/>
  <c r="R17" i="5" s="1"/>
  <c r="R18" i="5" s="1"/>
  <c r="R19" i="5" s="1"/>
  <c r="R20" i="5" s="1"/>
  <c r="R21" i="5" s="1"/>
  <c r="H37" i="5"/>
  <c r="H36" i="5"/>
  <c r="A82" i="5"/>
  <c r="C81" i="5"/>
  <c r="B81" i="5"/>
  <c r="F79" i="5"/>
  <c r="P12" i="3"/>
  <c r="Q12" i="3"/>
  <c r="O10" i="3"/>
  <c r="O11" i="3"/>
  <c r="O12" i="3"/>
  <c r="O13" i="3"/>
  <c r="O14" i="3"/>
  <c r="O15" i="3"/>
  <c r="O16" i="3"/>
  <c r="O17" i="3"/>
  <c r="H81" i="5" l="1"/>
  <c r="F80" i="5"/>
  <c r="G80" i="5"/>
  <c r="H80" i="5"/>
  <c r="S38" i="5"/>
  <c r="J38" i="5"/>
  <c r="B82" i="5"/>
  <c r="A83" i="5"/>
  <c r="C82" i="5"/>
  <c r="J37" i="5"/>
  <c r="I37" i="5"/>
  <c r="T12" i="5"/>
  <c r="S12" i="5"/>
  <c r="G81" i="5"/>
  <c r="F81" i="5"/>
  <c r="J36" i="5"/>
  <c r="I36" i="5"/>
  <c r="S112" i="3"/>
  <c r="C177" i="3"/>
  <c r="J177" i="3"/>
  <c r="S177" i="3"/>
  <c r="V176" i="3"/>
  <c r="U176" i="3"/>
  <c r="Q176" i="3"/>
  <c r="S175" i="3"/>
  <c r="V153" i="3"/>
  <c r="S152" i="3"/>
  <c r="S160" i="3"/>
  <c r="O162" i="3"/>
  <c r="L169" i="3"/>
  <c r="M164" i="3"/>
  <c r="S137" i="3"/>
  <c r="C154" i="3"/>
  <c r="I154" i="3"/>
  <c r="S154" i="3"/>
  <c r="U153" i="3"/>
  <c r="Q153" i="3"/>
  <c r="P140" i="3"/>
  <c r="Q140" i="3" s="1"/>
  <c r="Q139" i="3" s="1"/>
  <c r="O139" i="3"/>
  <c r="L146" i="3"/>
  <c r="M141" i="3"/>
  <c r="V129" i="3"/>
  <c r="S130" i="3"/>
  <c r="U129" i="3"/>
  <c r="Q129" i="3"/>
  <c r="C129" i="3"/>
  <c r="I129" i="3"/>
  <c r="S113" i="3"/>
  <c r="L122" i="3"/>
  <c r="M117" i="3"/>
  <c r="O115" i="3"/>
  <c r="C87" i="3"/>
  <c r="B87" i="3"/>
  <c r="T10" i="3"/>
  <c r="S10" i="3"/>
  <c r="B158" i="3"/>
  <c r="B135" i="3"/>
  <c r="B111" i="3"/>
  <c r="X78" i="3"/>
  <c r="X76" i="3"/>
  <c r="X66" i="3"/>
  <c r="V67" i="3"/>
  <c r="V65" i="3"/>
  <c r="V63" i="3"/>
  <c r="T67" i="3"/>
  <c r="S67" i="3"/>
  <c r="T65" i="3"/>
  <c r="S65" i="3"/>
  <c r="T63" i="3"/>
  <c r="S63" i="3"/>
  <c r="V79" i="3"/>
  <c r="V75" i="3"/>
  <c r="V77" i="3"/>
  <c r="Q79" i="3"/>
  <c r="Q77" i="3"/>
  <c r="Q75" i="3"/>
  <c r="T79" i="3"/>
  <c r="S79" i="3"/>
  <c r="T77" i="3"/>
  <c r="S77" i="3"/>
  <c r="T75" i="3"/>
  <c r="S75" i="3"/>
  <c r="P78" i="3"/>
  <c r="P76" i="3"/>
  <c r="P74" i="3"/>
  <c r="U49" i="3"/>
  <c r="Q11" i="3"/>
  <c r="Q13" i="3"/>
  <c r="Q14" i="3"/>
  <c r="Q15" i="3"/>
  <c r="Q16" i="3"/>
  <c r="Q17" i="3"/>
  <c r="Q10" i="3"/>
  <c r="X12" i="5" l="1"/>
  <c r="J41" i="5"/>
  <c r="L41" i="5" s="1"/>
  <c r="M39" i="5"/>
  <c r="H82" i="5"/>
  <c r="G82" i="5"/>
  <c r="F82" i="5"/>
  <c r="E54" i="5"/>
  <c r="S36" i="5"/>
  <c r="F54" i="5"/>
  <c r="S37" i="5"/>
  <c r="C83" i="5"/>
  <c r="B83" i="5"/>
  <c r="A84" i="5"/>
  <c r="P139" i="3"/>
  <c r="R140" i="3"/>
  <c r="R139" i="3" s="1"/>
  <c r="H20" i="3"/>
  <c r="H21" i="3"/>
  <c r="H60" i="5" l="1"/>
  <c r="H71" i="5"/>
  <c r="D71" i="5"/>
  <c r="D60" i="5"/>
  <c r="X69" i="5"/>
  <c r="X57" i="5"/>
  <c r="I80" i="5"/>
  <c r="K80" i="5" s="1"/>
  <c r="I81" i="5"/>
  <c r="K81" i="5" s="1"/>
  <c r="I82" i="5"/>
  <c r="K82" i="5" s="1"/>
  <c r="I79" i="5"/>
  <c r="K79" i="5" s="1"/>
  <c r="A85" i="5"/>
  <c r="C84" i="5"/>
  <c r="B84" i="5"/>
  <c r="K36" i="5"/>
  <c r="M41" i="5"/>
  <c r="H83" i="5"/>
  <c r="G83" i="5"/>
  <c r="F83" i="5"/>
  <c r="T13" i="5"/>
  <c r="S13" i="5"/>
  <c r="S140" i="3"/>
  <c r="S139" i="3" s="1"/>
  <c r="C75" i="3"/>
  <c r="I79" i="3"/>
  <c r="E81" i="3"/>
  <c r="C176" i="3"/>
  <c r="J176" i="3"/>
  <c r="B157" i="3"/>
  <c r="S159" i="3"/>
  <c r="L168" i="3"/>
  <c r="N165" i="3"/>
  <c r="P163" i="3"/>
  <c r="I153" i="3"/>
  <c r="C153" i="3"/>
  <c r="B110" i="3"/>
  <c r="B134" i="3"/>
  <c r="C128" i="3"/>
  <c r="I128" i="3"/>
  <c r="L145" i="3"/>
  <c r="S136" i="3"/>
  <c r="N142" i="3"/>
  <c r="X64" i="3"/>
  <c r="P66" i="3"/>
  <c r="P64" i="3"/>
  <c r="P62" i="3"/>
  <c r="B48" i="3"/>
  <c r="B47" i="3" s="1"/>
  <c r="N48" i="3"/>
  <c r="P11" i="3"/>
  <c r="P13" i="3"/>
  <c r="P14" i="3"/>
  <c r="P15" i="3"/>
  <c r="P16" i="3"/>
  <c r="P17" i="3"/>
  <c r="P10" i="3"/>
  <c r="X9" i="3"/>
  <c r="Y9" i="3" s="1"/>
  <c r="I83" i="5" l="1"/>
  <c r="K83" i="5" s="1"/>
  <c r="K37" i="5"/>
  <c r="K38" i="5" s="1"/>
  <c r="N37" i="5"/>
  <c r="N38" i="5"/>
  <c r="N36" i="5"/>
  <c r="L38" i="5"/>
  <c r="M38" i="5" s="1"/>
  <c r="L37" i="5"/>
  <c r="M37" i="5" s="1"/>
  <c r="L36" i="5"/>
  <c r="M36" i="5" s="1"/>
  <c r="X13" i="5"/>
  <c r="G84" i="5"/>
  <c r="F84" i="5"/>
  <c r="H84" i="5"/>
  <c r="C85" i="5"/>
  <c r="B85" i="5"/>
  <c r="A86" i="5"/>
  <c r="N143" i="3"/>
  <c r="M142" i="3"/>
  <c r="Q163" i="3"/>
  <c r="P162" i="3"/>
  <c r="N166" i="3"/>
  <c r="M165" i="3"/>
  <c r="T140" i="3"/>
  <c r="T139" i="3" s="1"/>
  <c r="L121" i="3"/>
  <c r="S128" i="3"/>
  <c r="N118" i="3"/>
  <c r="P116" i="3"/>
  <c r="R11" i="3"/>
  <c r="K5" i="3"/>
  <c r="A88" i="3"/>
  <c r="I86" i="3"/>
  <c r="L86" i="3" s="1"/>
  <c r="I40" i="3"/>
  <c r="I41" i="3"/>
  <c r="I42" i="3"/>
  <c r="I43" i="3"/>
  <c r="I44" i="3"/>
  <c r="I45" i="3"/>
  <c r="I46" i="3"/>
  <c r="I39" i="3"/>
  <c r="H40" i="3"/>
  <c r="H41" i="3"/>
  <c r="H42" i="3"/>
  <c r="H43" i="3"/>
  <c r="H44" i="3"/>
  <c r="H45" i="3"/>
  <c r="H46" i="3"/>
  <c r="H39" i="3"/>
  <c r="D62" i="3"/>
  <c r="B11" i="3"/>
  <c r="B12" i="3" s="1"/>
  <c r="B13" i="3" s="1"/>
  <c r="B14" i="3" s="1"/>
  <c r="B15" i="3" s="1"/>
  <c r="B16" i="3" s="1"/>
  <c r="B17" i="3" s="1"/>
  <c r="N39" i="3"/>
  <c r="M39" i="3"/>
  <c r="K40" i="3"/>
  <c r="K41" i="3"/>
  <c r="K43" i="3"/>
  <c r="K42" i="3"/>
  <c r="K45" i="3"/>
  <c r="K44" i="3"/>
  <c r="K46" i="3"/>
  <c r="K39" i="3"/>
  <c r="J46" i="3"/>
  <c r="G46" i="3"/>
  <c r="J44" i="3"/>
  <c r="G44" i="3"/>
  <c r="J45" i="3"/>
  <c r="G45" i="3"/>
  <c r="J42" i="3"/>
  <c r="G42" i="3"/>
  <c r="J43" i="3"/>
  <c r="G43" i="3"/>
  <c r="J41" i="3"/>
  <c r="G41" i="3"/>
  <c r="J40" i="3"/>
  <c r="G40" i="3"/>
  <c r="J39" i="3"/>
  <c r="G39" i="3"/>
  <c r="H9" i="3"/>
  <c r="I84" i="5" l="1"/>
  <c r="K84" i="5" s="1"/>
  <c r="A87" i="5"/>
  <c r="C86" i="5"/>
  <c r="B86" i="5"/>
  <c r="H85" i="5"/>
  <c r="G85" i="5"/>
  <c r="F85" i="5"/>
  <c r="Q36" i="5"/>
  <c r="R36" i="5"/>
  <c r="O36" i="5"/>
  <c r="P36" i="5" s="1"/>
  <c r="O38" i="5"/>
  <c r="P38" i="5" s="1"/>
  <c r="Q38" i="5"/>
  <c r="R38" i="5"/>
  <c r="R37" i="5"/>
  <c r="O37" i="5"/>
  <c r="P37" i="5" s="1"/>
  <c r="Q37" i="5"/>
  <c r="R163" i="3"/>
  <c r="Q162" i="3"/>
  <c r="W39" i="3"/>
  <c r="N167" i="3"/>
  <c r="M166" i="3"/>
  <c r="N144" i="3"/>
  <c r="M143" i="3"/>
  <c r="U140" i="3"/>
  <c r="U139" i="3" s="1"/>
  <c r="Q116" i="3"/>
  <c r="P115" i="3"/>
  <c r="R12" i="3"/>
  <c r="T11" i="3"/>
  <c r="S11" i="3"/>
  <c r="A89" i="3"/>
  <c r="C88" i="3"/>
  <c r="B88" i="3"/>
  <c r="N119" i="3"/>
  <c r="M118" i="3"/>
  <c r="L45" i="3"/>
  <c r="L44" i="3"/>
  <c r="L40" i="3"/>
  <c r="I9" i="3"/>
  <c r="J9" i="3" s="1"/>
  <c r="K9" i="3" s="1"/>
  <c r="L46" i="3"/>
  <c r="L42" i="3"/>
  <c r="N42" i="3" s="1"/>
  <c r="L41" i="3"/>
  <c r="N41" i="3" s="1"/>
  <c r="L43" i="3"/>
  <c r="I85" i="5" l="1"/>
  <c r="K85" i="5" s="1"/>
  <c r="A88" i="5"/>
  <c r="C87" i="5"/>
  <c r="B87" i="5"/>
  <c r="F86" i="5"/>
  <c r="H86" i="5"/>
  <c r="G86" i="5"/>
  <c r="N168" i="3"/>
  <c r="M167" i="3"/>
  <c r="M144" i="3"/>
  <c r="N145" i="3"/>
  <c r="S163" i="3"/>
  <c r="R162" i="3"/>
  <c r="V140" i="3"/>
  <c r="V139" i="3" s="1"/>
  <c r="R13" i="3"/>
  <c r="T12" i="3"/>
  <c r="S12" i="3"/>
  <c r="A90" i="3"/>
  <c r="C89" i="3"/>
  <c r="F89" i="3" s="1"/>
  <c r="B89" i="3"/>
  <c r="N120" i="3"/>
  <c r="M119" i="3"/>
  <c r="R116" i="3"/>
  <c r="Q115" i="3"/>
  <c r="X10" i="3"/>
  <c r="X11" i="3"/>
  <c r="H87" i="3"/>
  <c r="I87" i="3"/>
  <c r="F87" i="3"/>
  <c r="G87" i="3"/>
  <c r="F88" i="3"/>
  <c r="I88" i="3"/>
  <c r="G88" i="3"/>
  <c r="H88" i="3"/>
  <c r="M41" i="3"/>
  <c r="M42" i="3"/>
  <c r="M43" i="3"/>
  <c r="N43" i="3"/>
  <c r="N45" i="3"/>
  <c r="M45" i="3"/>
  <c r="M46" i="3"/>
  <c r="N46" i="3"/>
  <c r="N44" i="3"/>
  <c r="M44" i="3"/>
  <c r="M40" i="3"/>
  <c r="N40" i="3"/>
  <c r="L9" i="3"/>
  <c r="I86" i="5" l="1"/>
  <c r="K86" i="5" s="1"/>
  <c r="C88" i="5"/>
  <c r="B88" i="5"/>
  <c r="A89" i="5"/>
  <c r="H87" i="5"/>
  <c r="G87" i="5"/>
  <c r="F87" i="5"/>
  <c r="S14" i="5"/>
  <c r="T14" i="5"/>
  <c r="G89" i="3"/>
  <c r="N146" i="3"/>
  <c r="M145" i="3"/>
  <c r="T163" i="3"/>
  <c r="S162" i="3"/>
  <c r="M168" i="3"/>
  <c r="N169" i="3"/>
  <c r="H89" i="3"/>
  <c r="I89" i="3"/>
  <c r="W140" i="3"/>
  <c r="W139" i="3" s="1"/>
  <c r="X12" i="3"/>
  <c r="A91" i="3"/>
  <c r="C90" i="3"/>
  <c r="B90" i="3"/>
  <c r="N121" i="3"/>
  <c r="M120" i="3"/>
  <c r="S116" i="3"/>
  <c r="R115" i="3"/>
  <c r="R14" i="3"/>
  <c r="T13" i="3"/>
  <c r="S13" i="3"/>
  <c r="W43" i="3"/>
  <c r="W44" i="3"/>
  <c r="W45" i="3"/>
  <c r="W42" i="3"/>
  <c r="W46" i="3"/>
  <c r="W41" i="3"/>
  <c r="W40" i="3"/>
  <c r="N49" i="3"/>
  <c r="P49" i="3" s="1"/>
  <c r="N47" i="3"/>
  <c r="K62" i="3"/>
  <c r="F62" i="3"/>
  <c r="G62" i="3"/>
  <c r="I62" i="3"/>
  <c r="J62" i="3"/>
  <c r="E62" i="3"/>
  <c r="H62" i="3"/>
  <c r="M9" i="3"/>
  <c r="I87" i="5" l="1"/>
  <c r="K87" i="5" s="1"/>
  <c r="X14" i="5"/>
  <c r="S15" i="5"/>
  <c r="T15" i="5"/>
  <c r="A90" i="5"/>
  <c r="C89" i="5"/>
  <c r="B89" i="5"/>
  <c r="H88" i="5"/>
  <c r="G88" i="5"/>
  <c r="F88" i="5"/>
  <c r="U163" i="3"/>
  <c r="T162" i="3"/>
  <c r="N170" i="3"/>
  <c r="M169" i="3"/>
  <c r="N147" i="3"/>
  <c r="R147" i="3" s="1"/>
  <c r="M146" i="3"/>
  <c r="J87" i="3"/>
  <c r="L87" i="3" s="1"/>
  <c r="J88" i="3"/>
  <c r="L88" i="3" s="1"/>
  <c r="J89" i="3"/>
  <c r="L89" i="3" s="1"/>
  <c r="X13" i="3"/>
  <c r="T116" i="3"/>
  <c r="T118" i="3" s="1"/>
  <c r="S115" i="3"/>
  <c r="I90" i="3"/>
  <c r="G90" i="3"/>
  <c r="F90" i="3"/>
  <c r="H90" i="3"/>
  <c r="R15" i="3"/>
  <c r="S14" i="3"/>
  <c r="T14" i="3"/>
  <c r="N122" i="3"/>
  <c r="O122" i="3" s="1"/>
  <c r="M121" i="3"/>
  <c r="A92" i="3"/>
  <c r="C91" i="3"/>
  <c r="B91" i="3"/>
  <c r="X77" i="3"/>
  <c r="X65" i="3"/>
  <c r="O40" i="3"/>
  <c r="P46" i="3" s="1"/>
  <c r="R49" i="3"/>
  <c r="H67" i="3"/>
  <c r="H76" i="3"/>
  <c r="E76" i="3"/>
  <c r="H72" i="3"/>
  <c r="B71" i="3"/>
  <c r="D67" i="3"/>
  <c r="F81" i="3"/>
  <c r="B81" i="3"/>
  <c r="O165" i="3"/>
  <c r="S165" i="3"/>
  <c r="R166" i="3"/>
  <c r="Q167" i="3"/>
  <c r="U167" i="3"/>
  <c r="P168" i="3"/>
  <c r="T168" i="3"/>
  <c r="O169" i="3"/>
  <c r="S169" i="3"/>
  <c r="P165" i="3"/>
  <c r="T165" i="3"/>
  <c r="O166" i="3"/>
  <c r="S166" i="3"/>
  <c r="R167" i="3"/>
  <c r="Q168" i="3"/>
  <c r="U168" i="3"/>
  <c r="P169" i="3"/>
  <c r="T169" i="3"/>
  <c r="S170" i="3"/>
  <c r="Q165" i="3"/>
  <c r="U165" i="3"/>
  <c r="P166" i="3"/>
  <c r="T166" i="3"/>
  <c r="O167" i="3"/>
  <c r="S167" i="3"/>
  <c r="R168" i="3"/>
  <c r="Q169" i="3"/>
  <c r="U169" i="3"/>
  <c r="P170" i="3"/>
  <c r="R165" i="3"/>
  <c r="Q166" i="3"/>
  <c r="U166" i="3"/>
  <c r="P167" i="3"/>
  <c r="T167" i="3"/>
  <c r="O168" i="3"/>
  <c r="S168" i="3"/>
  <c r="R169" i="3"/>
  <c r="U170" i="3"/>
  <c r="O164" i="3"/>
  <c r="Q164" i="3"/>
  <c r="R164" i="3"/>
  <c r="S164" i="3"/>
  <c r="P164" i="3"/>
  <c r="T164" i="3"/>
  <c r="U164" i="3"/>
  <c r="O142" i="3"/>
  <c r="S142" i="3"/>
  <c r="W142" i="3"/>
  <c r="R143" i="3"/>
  <c r="V143" i="3"/>
  <c r="P145" i="3"/>
  <c r="V147" i="3"/>
  <c r="P142" i="3"/>
  <c r="T142" i="3"/>
  <c r="O143" i="3"/>
  <c r="S143" i="3"/>
  <c r="W143" i="3"/>
  <c r="R144" i="3"/>
  <c r="V144" i="3"/>
  <c r="Q145" i="3"/>
  <c r="U145" i="3"/>
  <c r="P146" i="3"/>
  <c r="T146" i="3"/>
  <c r="S147" i="3"/>
  <c r="W147" i="3"/>
  <c r="V142" i="3"/>
  <c r="U143" i="3"/>
  <c r="T144" i="3"/>
  <c r="O145" i="3"/>
  <c r="W145" i="3"/>
  <c r="V146" i="3"/>
  <c r="U147" i="3"/>
  <c r="U144" i="3"/>
  <c r="T145" i="3"/>
  <c r="S146" i="3"/>
  <c r="Q142" i="3"/>
  <c r="U142" i="3"/>
  <c r="P143" i="3"/>
  <c r="T143" i="3"/>
  <c r="O144" i="3"/>
  <c r="S144" i="3"/>
  <c r="W144" i="3"/>
  <c r="R145" i="3"/>
  <c r="V145" i="3"/>
  <c r="Q146" i="3"/>
  <c r="U146" i="3"/>
  <c r="P147" i="3"/>
  <c r="T147" i="3"/>
  <c r="R142" i="3"/>
  <c r="Q143" i="3"/>
  <c r="P144" i="3"/>
  <c r="S145" i="3"/>
  <c r="R146" i="3"/>
  <c r="Q144" i="3"/>
  <c r="O146" i="3"/>
  <c r="W146" i="3"/>
  <c r="O141" i="3"/>
  <c r="P141" i="3"/>
  <c r="T141" i="3"/>
  <c r="W141" i="3"/>
  <c r="Q141" i="3"/>
  <c r="U141" i="3"/>
  <c r="R141" i="3"/>
  <c r="V141" i="3"/>
  <c r="S141" i="3"/>
  <c r="O118" i="3"/>
  <c r="S118" i="3"/>
  <c r="R119" i="3"/>
  <c r="Q120" i="3"/>
  <c r="P121" i="3"/>
  <c r="T121" i="3"/>
  <c r="S121" i="3"/>
  <c r="R122" i="3"/>
  <c r="P118" i="3"/>
  <c r="O119" i="3"/>
  <c r="S119" i="3"/>
  <c r="R120" i="3"/>
  <c r="Q121" i="3"/>
  <c r="T122" i="3"/>
  <c r="Q118" i="3"/>
  <c r="P119" i="3"/>
  <c r="T119" i="3"/>
  <c r="O120" i="3"/>
  <c r="S120" i="3"/>
  <c r="R121" i="3"/>
  <c r="R118" i="3"/>
  <c r="Q119" i="3"/>
  <c r="P120" i="3"/>
  <c r="T120" i="3"/>
  <c r="O121" i="3"/>
  <c r="P117" i="3"/>
  <c r="Q117" i="3"/>
  <c r="R117" i="3"/>
  <c r="S117" i="3"/>
  <c r="O117" i="3"/>
  <c r="N9" i="3"/>
  <c r="I88" i="5" l="1"/>
  <c r="K88" i="5" s="1"/>
  <c r="G89" i="5"/>
  <c r="F89" i="5"/>
  <c r="H89" i="5"/>
  <c r="T16" i="5"/>
  <c r="S16" i="5"/>
  <c r="B90" i="5"/>
  <c r="C90" i="5"/>
  <c r="X15" i="5"/>
  <c r="O147" i="3"/>
  <c r="Q147" i="3"/>
  <c r="P43" i="3"/>
  <c r="Q43" i="3" s="1"/>
  <c r="O41" i="3"/>
  <c r="Q122" i="3"/>
  <c r="P122" i="3"/>
  <c r="N171" i="3"/>
  <c r="M170" i="3"/>
  <c r="T117" i="3"/>
  <c r="S122" i="3"/>
  <c r="R41" i="3"/>
  <c r="U41" i="3" s="1"/>
  <c r="Q170" i="3"/>
  <c r="O170" i="3"/>
  <c r="R44" i="3"/>
  <c r="U44" i="3" s="1"/>
  <c r="T170" i="3"/>
  <c r="R170" i="3"/>
  <c r="N148" i="3"/>
  <c r="M147" i="3"/>
  <c r="V163" i="3"/>
  <c r="U162" i="3"/>
  <c r="J90" i="3"/>
  <c r="L90" i="3" s="1"/>
  <c r="N123" i="3"/>
  <c r="M122" i="3"/>
  <c r="R16" i="3"/>
  <c r="T15" i="3"/>
  <c r="S15" i="3"/>
  <c r="H91" i="3"/>
  <c r="G91" i="3"/>
  <c r="F91" i="3"/>
  <c r="I91" i="3"/>
  <c r="A93" i="3"/>
  <c r="C92" i="3"/>
  <c r="B92" i="3"/>
  <c r="X14" i="3"/>
  <c r="U116" i="3"/>
  <c r="T115" i="3"/>
  <c r="P44" i="3"/>
  <c r="Q44" i="3" s="1"/>
  <c r="R46" i="3"/>
  <c r="U46" i="3" s="1"/>
  <c r="P42" i="3"/>
  <c r="Q42" i="3" s="1"/>
  <c r="R42" i="3"/>
  <c r="V42" i="3" s="1"/>
  <c r="P41" i="3"/>
  <c r="Q41" i="3" s="1"/>
  <c r="R40" i="3"/>
  <c r="V40" i="3" s="1"/>
  <c r="P45" i="3"/>
  <c r="Q45" i="3" s="1"/>
  <c r="P40" i="3"/>
  <c r="Q40" i="3" s="1"/>
  <c r="R45" i="3"/>
  <c r="S45" i="3" s="1"/>
  <c r="T45" i="3" s="1"/>
  <c r="R43" i="3"/>
  <c r="U43" i="3" s="1"/>
  <c r="V41" i="3"/>
  <c r="U45" i="3"/>
  <c r="O42" i="3"/>
  <c r="Q46" i="3"/>
  <c r="I89" i="5" l="1"/>
  <c r="K89" i="5" s="1"/>
  <c r="T17" i="5"/>
  <c r="S17" i="5"/>
  <c r="H90" i="5"/>
  <c r="G90" i="5"/>
  <c r="F90" i="5"/>
  <c r="X16" i="5"/>
  <c r="V44" i="3"/>
  <c r="V45" i="3"/>
  <c r="S44" i="3"/>
  <c r="T44" i="3" s="1"/>
  <c r="S41" i="3"/>
  <c r="T41" i="3" s="1"/>
  <c r="W163" i="3"/>
  <c r="V162" i="3"/>
  <c r="V166" i="3"/>
  <c r="V167" i="3"/>
  <c r="V168" i="3"/>
  <c r="V169" i="3"/>
  <c r="V165" i="3"/>
  <c r="V164" i="3"/>
  <c r="N172" i="3"/>
  <c r="M171" i="3"/>
  <c r="R171" i="3"/>
  <c r="T171" i="3"/>
  <c r="V171" i="3"/>
  <c r="S171" i="3"/>
  <c r="O171" i="3"/>
  <c r="Q171" i="3"/>
  <c r="U171" i="3"/>
  <c r="W171" i="3"/>
  <c r="P171" i="3"/>
  <c r="N149" i="3"/>
  <c r="M148" i="3"/>
  <c r="W148" i="3"/>
  <c r="R148" i="3"/>
  <c r="O148" i="3"/>
  <c r="T148" i="3"/>
  <c r="P148" i="3"/>
  <c r="U148" i="3"/>
  <c r="S148" i="3"/>
  <c r="Q148" i="3"/>
  <c r="V148" i="3"/>
  <c r="V170" i="3"/>
  <c r="S46" i="3"/>
  <c r="T46" i="3" s="1"/>
  <c r="J91" i="3"/>
  <c r="L91" i="3" s="1"/>
  <c r="U40" i="3"/>
  <c r="S40" i="3"/>
  <c r="T40" i="3" s="1"/>
  <c r="S43" i="3"/>
  <c r="T43" i="3" s="1"/>
  <c r="V46" i="3"/>
  <c r="A94" i="3"/>
  <c r="C93" i="3"/>
  <c r="B93" i="3"/>
  <c r="X15" i="3"/>
  <c r="R17" i="3"/>
  <c r="T16" i="3"/>
  <c r="S16" i="3"/>
  <c r="V43" i="3"/>
  <c r="V116" i="3"/>
  <c r="V123" i="3" s="1"/>
  <c r="U115" i="3"/>
  <c r="U122" i="3"/>
  <c r="U120" i="3"/>
  <c r="U119" i="3"/>
  <c r="U117" i="3"/>
  <c r="U121" i="3"/>
  <c r="U118" i="3"/>
  <c r="G92" i="3"/>
  <c r="H92" i="3"/>
  <c r="I92" i="3"/>
  <c r="F92" i="3"/>
  <c r="N124" i="3"/>
  <c r="M123" i="3"/>
  <c r="U123" i="3"/>
  <c r="Q123" i="3"/>
  <c r="P123" i="3"/>
  <c r="O123" i="3"/>
  <c r="T123" i="3"/>
  <c r="R123" i="3"/>
  <c r="S123" i="3"/>
  <c r="U42" i="3"/>
  <c r="S42" i="3"/>
  <c r="T42" i="3" s="1"/>
  <c r="O43" i="3"/>
  <c r="I90" i="5" l="1"/>
  <c r="K90" i="5" s="1"/>
  <c r="J89" i="5" s="1"/>
  <c r="X17" i="5"/>
  <c r="T18" i="5"/>
  <c r="S18" i="5"/>
  <c r="M149" i="3"/>
  <c r="Q149" i="3"/>
  <c r="T149" i="3"/>
  <c r="P149" i="3"/>
  <c r="S149" i="3"/>
  <c r="V149" i="3"/>
  <c r="U149" i="3"/>
  <c r="R149" i="3"/>
  <c r="O149" i="3"/>
  <c r="W149" i="3"/>
  <c r="M172" i="3"/>
  <c r="P172" i="3"/>
  <c r="R172" i="3"/>
  <c r="T172" i="3"/>
  <c r="V172" i="3"/>
  <c r="O172" i="3"/>
  <c r="Q172" i="3"/>
  <c r="S172" i="3"/>
  <c r="U172" i="3"/>
  <c r="W172" i="3"/>
  <c r="W162" i="3"/>
  <c r="W167" i="3"/>
  <c r="W168" i="3"/>
  <c r="W164" i="3"/>
  <c r="W165" i="3"/>
  <c r="W166" i="3"/>
  <c r="W169" i="3"/>
  <c r="W170" i="3"/>
  <c r="J92" i="3"/>
  <c r="L92" i="3" s="1"/>
  <c r="X16" i="3"/>
  <c r="R18" i="3"/>
  <c r="T17" i="3"/>
  <c r="S17" i="3"/>
  <c r="I93" i="3"/>
  <c r="F93" i="3"/>
  <c r="G93" i="3"/>
  <c r="H93" i="3"/>
  <c r="N125" i="3"/>
  <c r="M124" i="3"/>
  <c r="P124" i="3"/>
  <c r="S124" i="3"/>
  <c r="Q124" i="3"/>
  <c r="R124" i="3"/>
  <c r="T124" i="3"/>
  <c r="U124" i="3"/>
  <c r="V124" i="3"/>
  <c r="O124" i="3"/>
  <c r="W116" i="3"/>
  <c r="W124" i="3" s="1"/>
  <c r="V115" i="3"/>
  <c r="V117" i="3"/>
  <c r="V120" i="3"/>
  <c r="V118" i="3"/>
  <c r="V121" i="3"/>
  <c r="V119" i="3"/>
  <c r="V122" i="3"/>
  <c r="A95" i="3"/>
  <c r="C94" i="3"/>
  <c r="B94" i="3"/>
  <c r="O44" i="3"/>
  <c r="J84" i="5" l="1"/>
  <c r="J87" i="5"/>
  <c r="J85" i="5"/>
  <c r="J79" i="5"/>
  <c r="J90" i="5"/>
  <c r="J81" i="5"/>
  <c r="J82" i="5"/>
  <c r="J80" i="5"/>
  <c r="J88" i="5"/>
  <c r="J86" i="5"/>
  <c r="J83" i="5"/>
  <c r="X18" i="5"/>
  <c r="T19" i="5"/>
  <c r="S19" i="5"/>
  <c r="M176" i="3"/>
  <c r="M153" i="3"/>
  <c r="J93" i="3"/>
  <c r="L93" i="3" s="1"/>
  <c r="X17" i="3"/>
  <c r="R19" i="3"/>
  <c r="S18" i="3"/>
  <c r="T18" i="3"/>
  <c r="F94" i="3"/>
  <c r="I94" i="3"/>
  <c r="G94" i="3"/>
  <c r="H94" i="3"/>
  <c r="A96" i="3"/>
  <c r="C95" i="3"/>
  <c r="B95" i="3"/>
  <c r="M125" i="3"/>
  <c r="T125" i="3"/>
  <c r="U125" i="3"/>
  <c r="O125" i="3"/>
  <c r="W125" i="3"/>
  <c r="R125" i="3"/>
  <c r="S125" i="3"/>
  <c r="P125" i="3"/>
  <c r="Q125" i="3"/>
  <c r="V125" i="3"/>
  <c r="W115" i="3"/>
  <c r="W120" i="3"/>
  <c r="W118" i="3"/>
  <c r="W122" i="3"/>
  <c r="W121" i="3"/>
  <c r="W117" i="3"/>
  <c r="W119" i="3"/>
  <c r="W123" i="3"/>
  <c r="O45" i="3"/>
  <c r="L81" i="5" l="1"/>
  <c r="L89" i="5"/>
  <c r="L82" i="5"/>
  <c r="L90" i="5"/>
  <c r="L83" i="5"/>
  <c r="L80" i="5"/>
  <c r="L84" i="5"/>
  <c r="L87" i="5"/>
  <c r="L85" i="5"/>
  <c r="L86" i="5"/>
  <c r="L88" i="5"/>
  <c r="L79" i="5"/>
  <c r="X19" i="5"/>
  <c r="T20" i="5"/>
  <c r="S20" i="5"/>
  <c r="A78" i="5"/>
  <c r="M129" i="3"/>
  <c r="J94" i="3"/>
  <c r="L94" i="3" s="1"/>
  <c r="F95" i="3"/>
  <c r="G95" i="3"/>
  <c r="H95" i="3"/>
  <c r="I95" i="3"/>
  <c r="R20" i="3"/>
  <c r="T19" i="3"/>
  <c r="S19" i="3"/>
  <c r="A97" i="3"/>
  <c r="C96" i="3"/>
  <c r="B96" i="3"/>
  <c r="X18" i="3"/>
  <c r="O46" i="3"/>
  <c r="X20" i="5" l="1"/>
  <c r="T21" i="5"/>
  <c r="S21" i="5"/>
  <c r="R9" i="5"/>
  <c r="D80" i="5"/>
  <c r="E80" i="5" s="1"/>
  <c r="D79" i="5"/>
  <c r="E79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J95" i="3"/>
  <c r="L95" i="3" s="1"/>
  <c r="X19" i="3"/>
  <c r="A98" i="3"/>
  <c r="C97" i="3"/>
  <c r="B97" i="3"/>
  <c r="R21" i="3"/>
  <c r="T20" i="3"/>
  <c r="S20" i="3"/>
  <c r="G96" i="3"/>
  <c r="H96" i="3"/>
  <c r="F96" i="3"/>
  <c r="I96" i="3"/>
  <c r="X21" i="5" l="1"/>
  <c r="U10" i="5"/>
  <c r="V10" i="5" s="1"/>
  <c r="U11" i="5"/>
  <c r="V11" i="5" s="1"/>
  <c r="U12" i="5"/>
  <c r="V12" i="5" s="1"/>
  <c r="U13" i="5"/>
  <c r="V13" i="5" s="1"/>
  <c r="U14" i="5"/>
  <c r="V14" i="5" s="1"/>
  <c r="U15" i="5"/>
  <c r="V15" i="5" s="1"/>
  <c r="U16" i="5"/>
  <c r="V16" i="5" s="1"/>
  <c r="U17" i="5"/>
  <c r="V17" i="5" s="1"/>
  <c r="U18" i="5"/>
  <c r="V18" i="5" s="1"/>
  <c r="U19" i="5"/>
  <c r="V19" i="5" s="1"/>
  <c r="U20" i="5"/>
  <c r="V20" i="5" s="1"/>
  <c r="U21" i="5"/>
  <c r="V21" i="5" s="1"/>
  <c r="J96" i="3"/>
  <c r="L96" i="3" s="1"/>
  <c r="X20" i="3"/>
  <c r="R22" i="3"/>
  <c r="T21" i="3"/>
  <c r="S21" i="3"/>
  <c r="I97" i="3"/>
  <c r="F97" i="3"/>
  <c r="H97" i="3"/>
  <c r="G97" i="3"/>
  <c r="A99" i="3"/>
  <c r="C98" i="3"/>
  <c r="B98" i="3"/>
  <c r="W21" i="5" l="1"/>
  <c r="W10" i="5"/>
  <c r="W11" i="5"/>
  <c r="W12" i="5"/>
  <c r="W13" i="5"/>
  <c r="W17" i="5"/>
  <c r="W16" i="5"/>
  <c r="W14" i="5"/>
  <c r="W18" i="5"/>
  <c r="W20" i="5"/>
  <c r="W15" i="5"/>
  <c r="W19" i="5"/>
  <c r="J97" i="3"/>
  <c r="L97" i="3" s="1"/>
  <c r="X21" i="3"/>
  <c r="F98" i="3"/>
  <c r="I98" i="3"/>
  <c r="G98" i="3"/>
  <c r="H98" i="3"/>
  <c r="A100" i="3"/>
  <c r="C99" i="3"/>
  <c r="B99" i="3"/>
  <c r="R23" i="3"/>
  <c r="T22" i="3"/>
  <c r="S22" i="3"/>
  <c r="Y10" i="5" l="1"/>
  <c r="Y11" i="5"/>
  <c r="Y12" i="5"/>
  <c r="Y13" i="5"/>
  <c r="Y14" i="5"/>
  <c r="Y15" i="5"/>
  <c r="Y16" i="5"/>
  <c r="Y17" i="5"/>
  <c r="Y18" i="5"/>
  <c r="Y19" i="5"/>
  <c r="Y20" i="5"/>
  <c r="Y21" i="5"/>
  <c r="J98" i="3"/>
  <c r="L98" i="3" s="1"/>
  <c r="A101" i="3"/>
  <c r="C100" i="3"/>
  <c r="B100" i="3"/>
  <c r="X22" i="3"/>
  <c r="R24" i="3"/>
  <c r="T23" i="3"/>
  <c r="S23" i="3"/>
  <c r="I99" i="3"/>
  <c r="F99" i="3"/>
  <c r="H99" i="3"/>
  <c r="G99" i="3"/>
  <c r="J99" i="3" l="1"/>
  <c r="L99" i="3" s="1"/>
  <c r="X23" i="3"/>
  <c r="R25" i="3"/>
  <c r="T24" i="3"/>
  <c r="S24" i="3"/>
  <c r="G100" i="3"/>
  <c r="H100" i="3"/>
  <c r="I100" i="3"/>
  <c r="F100" i="3"/>
  <c r="A102" i="3"/>
  <c r="C101" i="3"/>
  <c r="B101" i="3"/>
  <c r="J100" i="3" l="1"/>
  <c r="L100" i="3" s="1"/>
  <c r="C102" i="3"/>
  <c r="B102" i="3"/>
  <c r="A86" i="3"/>
  <c r="D102" i="3" s="1"/>
  <c r="E102" i="3" s="1"/>
  <c r="X24" i="3"/>
  <c r="I101" i="3"/>
  <c r="F101" i="3"/>
  <c r="H101" i="3"/>
  <c r="G101" i="3"/>
  <c r="T25" i="3"/>
  <c r="S25" i="3"/>
  <c r="R9" i="3"/>
  <c r="U25" i="3" s="1"/>
  <c r="V25" i="3" s="1"/>
  <c r="J101" i="3" l="1"/>
  <c r="L101" i="3" s="1"/>
  <c r="U24" i="3"/>
  <c r="V24" i="3" s="1"/>
  <c r="U12" i="3"/>
  <c r="V12" i="3" s="1"/>
  <c r="U11" i="3"/>
  <c r="V11" i="3" s="1"/>
  <c r="U13" i="3"/>
  <c r="V13" i="3" s="1"/>
  <c r="U10" i="3"/>
  <c r="V10" i="3" s="1"/>
  <c r="U14" i="3"/>
  <c r="V14" i="3" s="1"/>
  <c r="U15" i="3"/>
  <c r="V15" i="3" s="1"/>
  <c r="U16" i="3"/>
  <c r="V16" i="3" s="1"/>
  <c r="U17" i="3"/>
  <c r="V17" i="3" s="1"/>
  <c r="U18" i="3"/>
  <c r="V18" i="3" s="1"/>
  <c r="U19" i="3"/>
  <c r="V19" i="3" s="1"/>
  <c r="U20" i="3"/>
  <c r="V20" i="3" s="1"/>
  <c r="U21" i="3"/>
  <c r="V21" i="3" s="1"/>
  <c r="U22" i="3"/>
  <c r="V22" i="3" s="1"/>
  <c r="U23" i="3"/>
  <c r="V23" i="3" s="1"/>
  <c r="X25" i="3"/>
  <c r="W22" i="3" s="1"/>
  <c r="D98" i="3"/>
  <c r="E98" i="3" s="1"/>
  <c r="D89" i="3"/>
  <c r="E89" i="3" s="1"/>
  <c r="D88" i="3"/>
  <c r="E88" i="3" s="1"/>
  <c r="D87" i="3"/>
  <c r="E87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9" i="3"/>
  <c r="E99" i="3" s="1"/>
  <c r="D100" i="3"/>
  <c r="E100" i="3" s="1"/>
  <c r="D101" i="3"/>
  <c r="E101" i="3" s="1"/>
  <c r="G102" i="3"/>
  <c r="F102" i="3"/>
  <c r="H102" i="3"/>
  <c r="I102" i="3"/>
  <c r="J102" i="3" l="1"/>
  <c r="L102" i="3" s="1"/>
  <c r="K91" i="3" s="1"/>
  <c r="W20" i="3"/>
  <c r="W23" i="3"/>
  <c r="W24" i="3"/>
  <c r="W21" i="3"/>
  <c r="W19" i="3"/>
  <c r="W25" i="3"/>
  <c r="W12" i="3"/>
  <c r="W10" i="3"/>
  <c r="W14" i="3"/>
  <c r="W11" i="3"/>
  <c r="W17" i="3"/>
  <c r="W16" i="3"/>
  <c r="W15" i="3"/>
  <c r="W13" i="3"/>
  <c r="W18" i="3"/>
  <c r="Y11" i="3" l="1"/>
  <c r="Y19" i="3"/>
  <c r="Y15" i="3"/>
  <c r="Y24" i="3"/>
  <c r="Y12" i="3"/>
  <c r="Y20" i="3"/>
  <c r="Y23" i="3"/>
  <c r="Y13" i="3"/>
  <c r="Y21" i="3"/>
  <c r="Y14" i="3"/>
  <c r="Y22" i="3"/>
  <c r="Y16" i="3"/>
  <c r="Y17" i="3"/>
  <c r="Y25" i="3"/>
  <c r="Y18" i="3"/>
  <c r="Y10" i="3"/>
  <c r="K98" i="3"/>
  <c r="K97" i="3"/>
  <c r="K101" i="3"/>
  <c r="K99" i="3"/>
  <c r="K93" i="3"/>
  <c r="K96" i="3"/>
  <c r="K94" i="3"/>
  <c r="K90" i="3"/>
  <c r="K100" i="3"/>
  <c r="K95" i="3"/>
  <c r="K89" i="3"/>
  <c r="K87" i="3"/>
  <c r="K92" i="3"/>
  <c r="K102" i="3"/>
  <c r="K88" i="3"/>
  <c r="M89" i="3" l="1"/>
  <c r="M98" i="3"/>
  <c r="M93" i="3"/>
  <c r="M102" i="3"/>
  <c r="M87" i="3"/>
  <c r="M88" i="3"/>
  <c r="M97" i="3"/>
  <c r="M91" i="3"/>
  <c r="M100" i="3"/>
  <c r="M96" i="3"/>
  <c r="M90" i="3"/>
  <c r="M92" i="3"/>
  <c r="M101" i="3"/>
  <c r="M94" i="3"/>
  <c r="M99" i="3"/>
  <c r="M9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Stylianos Dritsas</author>
  </authors>
  <commentList>
    <comment ref="A9" authorId="0" shapeId="0" xr:uid="{A06B73B1-FFF2-4928-82DF-2A825589F2A6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To perform the experiments we need to randomize the order of executing them to ensure no bias creeps in from the setup</t>
        </r>
      </text>
    </comment>
    <comment ref="U9" authorId="0" shapeId="0" xr:uid="{C21DC19D-9DD6-43F6-820F-559C9C1C404A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Cumulative
Probability
Distribution</t>
        </r>
      </text>
    </comment>
    <comment ref="V9" authorId="0" shapeId="0" xr:uid="{DAB216F9-C874-4F7A-A627-FD3AF1BF9585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Z-Score aka where about in the Normal distribution with mean 0 and standard deviation 1</t>
        </r>
      </text>
    </comment>
    <comment ref="W9" authorId="0" shapeId="0" xr:uid="{D248D8E3-1812-4B36-A722-AB7A3CFEA710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Sorting order of the observations from smallest to largest</t>
        </r>
      </text>
    </comment>
    <comment ref="X9" authorId="0" shapeId="0" xr:uid="{DE004C1E-8340-4956-94F8-035F157155BB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Observations transformed from multiple columns (one for each replicate) to a single column vector</t>
        </r>
      </text>
    </comment>
    <comment ref="Y9" authorId="0" shapeId="0" xr:uid="{85B8B945-6A60-4057-9893-6D6834CF4D97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Sorted observations using the rank index</t>
        </r>
      </text>
    </comment>
    <comment ref="B34" authorId="0" shapeId="0" xr:uid="{F2DE44EE-090D-449E-ABCA-D2579395C4E1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Degrees of Freedom</t>
        </r>
      </text>
    </comment>
    <comment ref="J34" authorId="0" shapeId="0" xr:uid="{53D05152-4C39-401A-9D4A-18015AF109FF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Sum of Squares</t>
        </r>
      </text>
    </comment>
    <comment ref="K34" authorId="0" shapeId="0" xr:uid="{FFB4AFC1-F2D5-4B1E-BDD7-EC0FCDD497C7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Mean Square Error</t>
        </r>
      </text>
    </comment>
    <comment ref="L34" authorId="0" shapeId="0" xr:uid="{82E42382-807D-47DF-8E7E-EF4450B6BD1E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The F-Statistic</t>
        </r>
      </text>
    </comment>
    <comment ref="M34" authorId="0" shapeId="0" xr:uid="{E119F700-CCD7-4638-B7F8-ED183ABABD3C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The p-Value coded for 95% significance</t>
        </r>
      </text>
    </comment>
    <comment ref="N34" authorId="0" shapeId="0" xr:uid="{1E37AC8D-18DA-4CBC-AA15-8DF319C7469C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The Standard Error</t>
        </r>
      </text>
    </comment>
    <comment ref="O34" authorId="0" shapeId="0" xr:uid="{CD6AB521-B67F-4350-BD02-0481F3CFE316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The t-Statistic
</t>
        </r>
      </text>
    </comment>
    <comment ref="P34" authorId="0" shapeId="0" xr:uid="{29A9642B-C524-4CCC-B8D9-A79B3E689AF6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Another way to compute the p-Value which must match the previous.</t>
        </r>
      </text>
    </comment>
    <comment ref="Q34" authorId="0" shapeId="0" xr:uid="{1787D4BF-441E-434F-B9FA-7E3FDF74B7A8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Confidence interval</t>
        </r>
      </text>
    </comment>
    <comment ref="S34" authorId="0" shapeId="0" xr:uid="{1E1CAC10-F3B4-4504-85B3-5D58BEF992AC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Linear model coefficients</t>
        </r>
      </text>
    </comment>
    <comment ref="I35" authorId="0" shapeId="0" xr:uid="{44107D68-46FF-458C-9B2B-F4BADE11A782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Effect scaling factor</t>
        </r>
      </text>
    </comment>
    <comment ref="J35" authorId="0" shapeId="0" xr:uid="{AF4916B0-2DF6-4595-8090-AF0184B793A2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Sum of Squares scaling factor</t>
        </r>
      </text>
    </comment>
    <comment ref="L40" authorId="0" shapeId="0" xr:uid="{61B86256-45BF-4F56-82C8-AA9A52CDCB3B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R Squared
SS_Model / SS_Total</t>
        </r>
      </text>
    </comment>
    <comment ref="M40" authorId="0" shapeId="0" xr:uid="{E19E07A7-68D6-475E-9A13-33C38C9A489B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R Square Adjusted</t>
        </r>
      </text>
    </comment>
    <comment ref="Q40" authorId="0" shapeId="0" xr:uid="{CE3B6690-0A22-481A-864E-6F8A104E9D1A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Significance</t>
        </r>
      </text>
    </comment>
    <comment ref="H78" authorId="0" shapeId="0" xr:uid="{71AB5814-0F4E-4ABB-85F7-923FDF4FEDFD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Measured</t>
        </r>
      </text>
    </comment>
    <comment ref="I78" authorId="0" shapeId="0" xr:uid="{1CBB5108-F895-416E-A55D-0156222089F9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Predicted</t>
        </r>
      </text>
    </comment>
    <comment ref="K78" authorId="0" shapeId="0" xr:uid="{71E241DD-C186-4DBA-B51C-6D6A23F3764F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Residual</t>
        </r>
      </text>
    </comment>
    <comment ref="L78" authorId="0" shapeId="0" xr:uid="{074F6513-65E0-489A-B269-B6566C2E5CB3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Sorted Residual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Stylianos Dritsas</author>
  </authors>
  <commentList>
    <comment ref="A9" authorId="0" shapeId="0" xr:uid="{47048308-F0B5-4E21-B7E2-0D5647B83628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To perform the experiments we need to randomize the order of executing them to ensure no bias creeps in from the setup</t>
        </r>
      </text>
    </comment>
    <comment ref="U9" authorId="0" shapeId="0" xr:uid="{78ABD879-BC7D-4107-AAA2-33F3F17AB474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Cumulative
Probability
Distribution</t>
        </r>
      </text>
    </comment>
    <comment ref="V9" authorId="0" shapeId="0" xr:uid="{B8922BB8-F849-4CF5-9932-4D8AD55E2865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Z-Score aka where about in the Normal distribution with mean 0 and standard deviation 1</t>
        </r>
      </text>
    </comment>
    <comment ref="W9" authorId="0" shapeId="0" xr:uid="{F823FB54-2370-48ED-B236-2B3FADDDC7C4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Sorting order of the observations from smallest to largest</t>
        </r>
      </text>
    </comment>
    <comment ref="X9" authorId="0" shapeId="0" xr:uid="{FC8DA393-BA40-4589-9FDB-34E75D7DE9B9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Observations transformed from multiple columns (one for each replicate) to a single column vector</t>
        </r>
      </text>
    </comment>
    <comment ref="Y9" authorId="0" shapeId="0" xr:uid="{8628150A-6D22-44E9-9ED0-E5BB964CF8ED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Sorted observations using the rank index</t>
        </r>
      </text>
    </comment>
    <comment ref="B38" authorId="0" shapeId="0" xr:uid="{6C1B54AD-76FF-45D8-B0CF-2DF1E0055ADC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Degrees of Freedom</t>
        </r>
      </text>
    </comment>
    <comment ref="N38" authorId="0" shapeId="0" xr:uid="{826B8525-090A-4422-8B3A-A309FEDC627D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Sum of Squares</t>
        </r>
      </text>
    </comment>
    <comment ref="O38" authorId="0" shapeId="0" xr:uid="{3A09ADF1-E3F1-4535-AE5B-0955685FB102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Mean Square Error</t>
        </r>
      </text>
    </comment>
    <comment ref="P38" authorId="0" shapeId="0" xr:uid="{6C4554D6-3ED2-4DA4-A6BA-32980F896A7C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The F-Statistic</t>
        </r>
      </text>
    </comment>
    <comment ref="Q38" authorId="0" shapeId="0" xr:uid="{204418DB-6231-4FB1-9081-930477D4968B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The p-Value coded for 95% significance</t>
        </r>
      </text>
    </comment>
    <comment ref="R38" authorId="0" shapeId="0" xr:uid="{4562C72A-5183-4E13-836E-D79B54ED15CF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The Standard Error</t>
        </r>
      </text>
    </comment>
    <comment ref="S38" authorId="0" shapeId="0" xr:uid="{8C911F73-1687-46D8-8E7B-8D00CBD52E4A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The t-Statistic
</t>
        </r>
      </text>
    </comment>
    <comment ref="T38" authorId="0" shapeId="0" xr:uid="{7CEA3E18-121F-494C-A63C-64537445159A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Another way to compute the p-Value which must match the previous.</t>
        </r>
      </text>
    </comment>
    <comment ref="U38" authorId="0" shapeId="0" xr:uid="{5949C569-088D-4424-AB21-667FBC4346A6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Confidence interval</t>
        </r>
      </text>
    </comment>
    <comment ref="W38" authorId="0" shapeId="0" xr:uid="{02252666-4A68-4CDE-A5D0-B9B57487837F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Linear model coefficients</t>
        </r>
      </text>
    </comment>
    <comment ref="M39" authorId="0" shapeId="0" xr:uid="{0FD5EC51-DFFB-44B2-8ED8-7EC445FF12A0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Effect scaling factor</t>
        </r>
      </text>
    </comment>
    <comment ref="N39" authorId="0" shapeId="0" xr:uid="{9E12381B-5D98-494F-804F-39DF17F8DE9D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Sum of Squares scaling factor</t>
        </r>
      </text>
    </comment>
    <comment ref="P48" authorId="0" shapeId="0" xr:uid="{FCC643EE-9902-4CAC-860D-17798D44DB0A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R Squared
SS_Model / SS_Total</t>
        </r>
      </text>
    </comment>
    <comment ref="R48" authorId="0" shapeId="0" xr:uid="{40C6E5AD-AEB3-42BE-8F75-DB4C06E70E4B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R Square Adjusted</t>
        </r>
      </text>
    </comment>
    <comment ref="T48" authorId="0" shapeId="0" xr:uid="{C0B6625C-D1E4-475F-B232-539D52F397D3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Significance</t>
        </r>
      </text>
    </comment>
    <comment ref="I86" authorId="0" shapeId="0" xr:uid="{88B344D8-31E0-45A8-9C3F-726A15A450B9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Measured</t>
        </r>
      </text>
    </comment>
    <comment ref="J86" authorId="0" shapeId="0" xr:uid="{262F0D46-514F-46B3-8A5A-378294DB811A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Predicted</t>
        </r>
      </text>
    </comment>
    <comment ref="L86" authorId="0" shapeId="0" xr:uid="{EEB6F2C6-C9C0-4269-BE94-237CA13CD014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Residual</t>
        </r>
      </text>
    </comment>
    <comment ref="M86" authorId="0" shapeId="0" xr:uid="{89E756D9-E6A6-4CDF-8945-C32509FA82AC}">
      <text>
        <r>
          <rPr>
            <b/>
            <sz val="9"/>
            <color indexed="81"/>
            <rFont val="Tahoma"/>
            <family val="2"/>
          </rPr>
          <t>Stylianos Dritsas:</t>
        </r>
        <r>
          <rPr>
            <sz val="9"/>
            <color indexed="81"/>
            <rFont val="Tahoma"/>
            <family val="2"/>
          </rPr>
          <t xml:space="preserve">
Sorted Residual</t>
        </r>
      </text>
    </comment>
  </commentList>
</comments>
</file>

<file path=xl/sharedStrings.xml><?xml version="1.0" encoding="utf-8"?>
<sst xmlns="http://schemas.openxmlformats.org/spreadsheetml/2006/main" count="426" uniqueCount="146">
  <si>
    <t>Run</t>
  </si>
  <si>
    <t>A</t>
  </si>
  <si>
    <t>B</t>
  </si>
  <si>
    <t>AB</t>
  </si>
  <si>
    <t>C</t>
  </si>
  <si>
    <t>BC</t>
  </si>
  <si>
    <t>ABC</t>
  </si>
  <si>
    <t>Feed Rate</t>
  </si>
  <si>
    <t>mm/sec</t>
  </si>
  <si>
    <t>mm</t>
  </si>
  <si>
    <t>Code</t>
  </si>
  <si>
    <t>Exp</t>
  </si>
  <si>
    <t>Factors</t>
  </si>
  <si>
    <t>Replicates</t>
  </si>
  <si>
    <t>MSE</t>
  </si>
  <si>
    <t>DoF</t>
  </si>
  <si>
    <t>t</t>
  </si>
  <si>
    <t>p</t>
  </si>
  <si>
    <t>Factor</t>
  </si>
  <si>
    <t>Ord</t>
  </si>
  <si>
    <t>CA</t>
  </si>
  <si>
    <t>Alpha</t>
  </si>
  <si>
    <t>Design of Experiment Setup</t>
  </si>
  <si>
    <t>Rank</t>
  </si>
  <si>
    <t>Z</t>
  </si>
  <si>
    <t>2-Way</t>
  </si>
  <si>
    <t>3-Way</t>
  </si>
  <si>
    <t>Main</t>
  </si>
  <si>
    <t>Type</t>
  </si>
  <si>
    <t>Experiments</t>
  </si>
  <si>
    <t>Col</t>
  </si>
  <si>
    <t>Row</t>
  </si>
  <si>
    <t>Sorted</t>
  </si>
  <si>
    <t xml:space="preserve"> </t>
  </si>
  <si>
    <t>CPD</t>
  </si>
  <si>
    <t>Configuration</t>
  </si>
  <si>
    <t>Normal Probability Plot Construction</t>
  </si>
  <si>
    <t>To visually inspect if this is the case we plot the data in the</t>
  </si>
  <si>
    <t>so called normal probability plot form.</t>
  </si>
  <si>
    <t>o</t>
  </si>
  <si>
    <t>This means that the error is purely random noise of sorts.</t>
  </si>
  <si>
    <t>The method assumes that variability is normaly distributed.</t>
  </si>
  <si>
    <t>The points must be approximately form a linear trend.</t>
  </si>
  <si>
    <t>The tail ends often flare out a bit so it is ok</t>
  </si>
  <si>
    <t>The presense of bogus data aka outliers will make one or more</t>
  </si>
  <si>
    <t>points stick out far away from the line, while the rest of the</t>
  </si>
  <si>
    <t>points will kind of still form a linear trend and also the fitted</t>
  </si>
  <si>
    <t>In such a case you need redo the experiment that caused issues.</t>
  </si>
  <si>
    <t>line will be pulled away by the bogus points.</t>
  </si>
  <si>
    <t>Symbol</t>
  </si>
  <si>
    <t>Units</t>
  </si>
  <si>
    <t>Name</t>
  </si>
  <si>
    <t>Mean</t>
  </si>
  <si>
    <t>Total</t>
  </si>
  <si>
    <t>+1</t>
  </si>
  <si>
    <t>SS</t>
  </si>
  <si>
    <t>Contrast</t>
  </si>
  <si>
    <t>Effect</t>
  </si>
  <si>
    <t>F</t>
  </si>
  <si>
    <t>Error</t>
  </si>
  <si>
    <t>value</t>
  </si>
  <si>
    <t>Std</t>
  </si>
  <si>
    <t>error</t>
  </si>
  <si>
    <t>stat</t>
  </si>
  <si>
    <t>min</t>
  </si>
  <si>
    <t>max</t>
  </si>
  <si>
    <t>Confidence</t>
  </si>
  <si>
    <t>Interval</t>
  </si>
  <si>
    <t>b</t>
  </si>
  <si>
    <t>Experimental Measurements</t>
  </si>
  <si>
    <t xml:space="preserve">A = </t>
  </si>
  <si>
    <t xml:space="preserve">B = </t>
  </si>
  <si>
    <t>C =</t>
  </si>
  <si>
    <t>Regression Model Fitting and Analysis of Variation</t>
  </si>
  <si>
    <t>Linear Regression Model Evaluation</t>
  </si>
  <si>
    <t>Expand down if more data is available</t>
  </si>
  <si>
    <t>Main Effects</t>
  </si>
  <si>
    <t>2-Way Interactions</t>
  </si>
  <si>
    <t>Inputs</t>
  </si>
  <si>
    <t>Output</t>
  </si>
  <si>
    <t>Equation</t>
  </si>
  <si>
    <t>Coefficients</t>
  </si>
  <si>
    <t>Model Validation and Plots of Residuals</t>
  </si>
  <si>
    <t>Notes</t>
  </si>
  <si>
    <t xml:space="preserve">The 2-way and 3-way levels are </t>
  </si>
  <si>
    <t>computed by multiplication</t>
  </si>
  <si>
    <t xml:space="preserve">Each factor has one degree of </t>
  </si>
  <si>
    <t>freedom because the model is linear</t>
  </si>
  <si>
    <t>The total degrees of freedom</t>
  </si>
  <si>
    <t>exponent and replicates</t>
  </si>
  <si>
    <t xml:space="preserve">is computed from the factorial </t>
  </si>
  <si>
    <t xml:space="preserve">The error is computed from the </t>
  </si>
  <si>
    <t xml:space="preserve">total less the degrees of freedom </t>
  </si>
  <si>
    <t>of the factors</t>
  </si>
  <si>
    <t>The totals is just the sumation of the experiment measurements per replicate</t>
  </si>
  <si>
    <t>The contrasts are computed by dot product between coded values and totals</t>
  </si>
  <si>
    <t>The total sum of squares is computed from deviations of all measurements from their grand mean</t>
  </si>
  <si>
    <t>The sum of squares of the error is the total less other factors. It should be hopefully rather low of the total</t>
  </si>
  <si>
    <t>The F-statistic and p-Values explain how much of the variation is explained by the model (or errors are overwhelming)</t>
  </si>
  <si>
    <t>We expect to observe normality for residual errors are distributed, otherwise something may be wrong</t>
  </si>
  <si>
    <t>Here we plot the computed values from the linear model and check against the measured data</t>
  </si>
  <si>
    <t>Response Surfaces</t>
  </si>
  <si>
    <t>Surface Finish</t>
  </si>
  <si>
    <t>SF</t>
  </si>
  <si>
    <t>Depth</t>
  </si>
  <si>
    <t>Angle</t>
  </si>
  <si>
    <t>deg</t>
  </si>
  <si>
    <t xml:space="preserve"> - - -</t>
  </si>
  <si>
    <t xml:space="preserve">+ - - </t>
  </si>
  <si>
    <t>- + +</t>
  </si>
  <si>
    <t xml:space="preserve"> - - +</t>
  </si>
  <si>
    <t>+ - +</t>
  </si>
  <si>
    <t>- + -</t>
  </si>
  <si>
    <t>+ + -</t>
  </si>
  <si>
    <t>+ + +</t>
  </si>
  <si>
    <t>Model</t>
  </si>
  <si>
    <t>R2</t>
  </si>
  <si>
    <t>AdjR2</t>
  </si>
  <si>
    <t>StdDev</t>
  </si>
  <si>
    <t>a</t>
  </si>
  <si>
    <t>c</t>
  </si>
  <si>
    <t>ab</t>
  </si>
  <si>
    <t>bc</t>
  </si>
  <si>
    <t>ca</t>
  </si>
  <si>
    <t>abc</t>
  </si>
  <si>
    <t>y = o + a * A + b * B + c * C + ab * A * B + bc * B * C + ca * C * A + abc * A * B * C</t>
  </si>
  <si>
    <t>f</t>
  </si>
  <si>
    <t>Coded</t>
  </si>
  <si>
    <t>Actual</t>
  </si>
  <si>
    <t>Min</t>
  </si>
  <si>
    <t>Max</t>
  </si>
  <si>
    <t>≤</t>
  </si>
  <si>
    <t>Determinant</t>
  </si>
  <si>
    <t>um</t>
  </si>
  <si>
    <t>Time</t>
  </si>
  <si>
    <t>Weight</t>
  </si>
  <si>
    <t>g</t>
  </si>
  <si>
    <t>sec</t>
  </si>
  <si>
    <t>Taste</t>
  </si>
  <si>
    <t>N/A</t>
  </si>
  <si>
    <t>y = o + a * A + b * B + ab * A * B</t>
  </si>
  <si>
    <t xml:space="preserve">- + </t>
  </si>
  <si>
    <t>- -</t>
  </si>
  <si>
    <t>+ -</t>
  </si>
  <si>
    <t>+ +</t>
  </si>
  <si>
    <t>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</si>
</sst>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\+0;\-0"/>
    <numFmt numFmtId="169" formatCode="0.0E+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0" tint="-0.249977111117893"/>
      <name val="Calibri"/>
      <family val="2"/>
      <scheme val="minor"/>
    </font>
    <font>
      <sz val="9"/>
      <color theme="1"/>
      <name val="Calibri"/>
      <family val="2"/>
    </font>
    <font>
      <b/>
      <sz val="9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</font>
    <font>
      <b/>
      <sz val="9"/>
      <color theme="2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2" fontId="2" fillId="3" borderId="0" xfId="0" applyNumberFormat="1" applyFont="1" applyFill="1" applyBorder="1" applyAlignment="1">
      <alignment horizontal="center"/>
    </xf>
    <xf numFmtId="2" fontId="2" fillId="12" borderId="0" xfId="0" applyNumberFormat="1" applyFont="1" applyFill="1" applyBorder="1" applyAlignment="1">
      <alignment horizontal="center"/>
    </xf>
    <xf numFmtId="2" fontId="2" fillId="7" borderId="0" xfId="0" applyNumberFormat="1" applyFont="1" applyFill="1" applyBorder="1" applyAlignment="1">
      <alignment horizontal="center"/>
    </xf>
    <xf numFmtId="2" fontId="2" fillId="9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 vertical="center"/>
    </xf>
    <xf numFmtId="0" fontId="2" fillId="21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13" borderId="0" xfId="0" applyFont="1" applyFill="1" applyBorder="1" applyAlignment="1">
      <alignment horizontal="center"/>
    </xf>
    <xf numFmtId="0" fontId="3" fillId="15" borderId="0" xfId="0" applyFont="1" applyFill="1" applyBorder="1" applyAlignment="1">
      <alignment horizontal="center"/>
    </xf>
    <xf numFmtId="0" fontId="3" fillId="14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66" fontId="2" fillId="0" borderId="0" xfId="0" quotePrefix="1" applyNumberFormat="1" applyFont="1" applyBorder="1" applyAlignment="1">
      <alignment horizontal="center"/>
    </xf>
    <xf numFmtId="166" fontId="3" fillId="16" borderId="0" xfId="0" applyNumberFormat="1" applyFont="1" applyFill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64" fontId="2" fillId="6" borderId="0" xfId="0" applyNumberFormat="1" applyFont="1" applyFill="1" applyBorder="1" applyAlignment="1">
      <alignment horizontal="center"/>
    </xf>
    <xf numFmtId="164" fontId="2" fillId="12" borderId="0" xfId="0" applyNumberFormat="1" applyFont="1" applyFill="1" applyBorder="1" applyAlignment="1">
      <alignment horizontal="center"/>
    </xf>
    <xf numFmtId="164" fontId="2" fillId="7" borderId="0" xfId="0" applyNumberFormat="1" applyFont="1" applyFill="1" applyBorder="1" applyAlignment="1">
      <alignment horizontal="center"/>
    </xf>
    <xf numFmtId="0" fontId="3" fillId="10" borderId="0" xfId="0" applyFont="1" applyFill="1" applyBorder="1" applyAlignment="1">
      <alignment horizontal="left"/>
    </xf>
    <xf numFmtId="164" fontId="2" fillId="3" borderId="0" xfId="0" applyNumberFormat="1" applyFont="1" applyFill="1" applyBorder="1" applyAlignment="1">
      <alignment horizontal="center"/>
    </xf>
    <xf numFmtId="164" fontId="2" fillId="9" borderId="0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left"/>
    </xf>
    <xf numFmtId="0" fontId="3" fillId="14" borderId="0" xfId="0" applyFont="1" applyFill="1" applyBorder="1"/>
    <xf numFmtId="0" fontId="2" fillId="14" borderId="0" xfId="0" applyFont="1" applyFill="1" applyBorder="1"/>
    <xf numFmtId="0" fontId="3" fillId="21" borderId="0" xfId="0" applyFont="1" applyFill="1" applyBorder="1"/>
    <xf numFmtId="0" fontId="3" fillId="20" borderId="0" xfId="0" applyFont="1" applyFill="1" applyBorder="1"/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/>
    <xf numFmtId="2" fontId="2" fillId="21" borderId="0" xfId="0" applyNumberFormat="1" applyFont="1" applyFill="1" applyBorder="1" applyAlignment="1">
      <alignment horizontal="center"/>
    </xf>
    <xf numFmtId="0" fontId="2" fillId="18" borderId="0" xfId="0" applyFont="1" applyFill="1" applyBorder="1" applyAlignment="1">
      <alignment horizontal="center" vertical="center"/>
    </xf>
    <xf numFmtId="0" fontId="3" fillId="18" borderId="0" xfId="0" applyFont="1" applyFill="1" applyBorder="1" applyAlignment="1">
      <alignment horizontal="center" vertical="center"/>
    </xf>
    <xf numFmtId="2" fontId="2" fillId="18" borderId="0" xfId="0" applyNumberFormat="1" applyFont="1" applyFill="1" applyBorder="1" applyAlignment="1">
      <alignment horizontal="center"/>
    </xf>
    <xf numFmtId="2" fontId="2" fillId="18" borderId="0" xfId="0" applyNumberFormat="1" applyFont="1" applyFill="1" applyBorder="1" applyAlignment="1">
      <alignment horizontal="left"/>
    </xf>
    <xf numFmtId="0" fontId="3" fillId="18" borderId="0" xfId="0" applyFont="1" applyFill="1" applyBorder="1" applyAlignment="1">
      <alignment horizontal="center"/>
    </xf>
    <xf numFmtId="0" fontId="3" fillId="18" borderId="0" xfId="0" applyFont="1" applyFill="1" applyBorder="1" applyAlignment="1">
      <alignment horizontal="left"/>
    </xf>
    <xf numFmtId="2" fontId="3" fillId="18" borderId="0" xfId="0" applyNumberFormat="1" applyFont="1" applyFill="1" applyBorder="1" applyAlignment="1">
      <alignment horizontal="left"/>
    </xf>
    <xf numFmtId="165" fontId="7" fillId="21" borderId="0" xfId="0" applyNumberFormat="1" applyFont="1" applyFill="1" applyBorder="1" applyAlignment="1">
      <alignment horizontal="center"/>
    </xf>
    <xf numFmtId="2" fontId="7" fillId="21" borderId="0" xfId="0" applyNumberFormat="1" applyFont="1" applyFill="1" applyBorder="1" applyAlignment="1">
      <alignment horizontal="center"/>
    </xf>
    <xf numFmtId="0" fontId="7" fillId="21" borderId="0" xfId="0" applyFont="1" applyFill="1" applyBorder="1"/>
    <xf numFmtId="0" fontId="3" fillId="14" borderId="0" xfId="0" quotePrefix="1" applyFont="1" applyFill="1" applyBorder="1" applyAlignment="1">
      <alignment horizontal="center"/>
    </xf>
    <xf numFmtId="0" fontId="6" fillId="20" borderId="0" xfId="0" applyFont="1" applyFill="1" applyBorder="1"/>
    <xf numFmtId="0" fontId="5" fillId="20" borderId="0" xfId="0" applyFont="1" applyFill="1" applyBorder="1"/>
    <xf numFmtId="0" fontId="2" fillId="20" borderId="0" xfId="0" applyFont="1" applyFill="1" applyBorder="1"/>
    <xf numFmtId="0" fontId="3" fillId="22" borderId="0" xfId="0" applyFont="1" applyFill="1" applyBorder="1" applyAlignment="1">
      <alignment horizontal="center"/>
    </xf>
    <xf numFmtId="0" fontId="2" fillId="0" borderId="0" xfId="0" applyFont="1" applyBorder="1"/>
    <xf numFmtId="0" fontId="2" fillId="22" borderId="0" xfId="0" applyFont="1" applyFill="1" applyBorder="1" applyAlignment="1">
      <alignment horizontal="center"/>
    </xf>
    <xf numFmtId="0" fontId="2" fillId="3" borderId="0" xfId="0" applyFont="1" applyFill="1" applyBorder="1"/>
    <xf numFmtId="0" fontId="3" fillId="16" borderId="0" xfId="0" applyFont="1" applyFill="1" applyBorder="1" applyAlignment="1">
      <alignment horizontal="center"/>
    </xf>
    <xf numFmtId="0" fontId="3" fillId="0" borderId="0" xfId="0" applyFont="1" applyFill="1" applyBorder="1"/>
    <xf numFmtId="2" fontId="3" fillId="10" borderId="0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2" fillId="4" borderId="0" xfId="0" applyFont="1" applyFill="1" applyBorder="1"/>
    <xf numFmtId="0" fontId="3" fillId="11" borderId="0" xfId="0" applyFont="1" applyFill="1" applyBorder="1" applyAlignment="1">
      <alignment horizontal="center"/>
    </xf>
    <xf numFmtId="0" fontId="2" fillId="13" borderId="0" xfId="0" applyFont="1" applyFill="1" applyBorder="1"/>
    <xf numFmtId="0" fontId="2" fillId="11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2" fontId="3" fillId="15" borderId="0" xfId="0" applyNumberFormat="1" applyFont="1" applyFill="1" applyBorder="1" applyAlignment="1">
      <alignment horizontal="center"/>
    </xf>
    <xf numFmtId="0" fontId="2" fillId="15" borderId="0" xfId="0" applyFont="1" applyFill="1" applyBorder="1" applyAlignment="1">
      <alignment horizontal="center"/>
    </xf>
    <xf numFmtId="2" fontId="3" fillId="14" borderId="0" xfId="0" applyNumberFormat="1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0" fontId="3" fillId="19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3" fillId="18" borderId="0" xfId="0" applyFont="1" applyFill="1" applyBorder="1"/>
    <xf numFmtId="0" fontId="2" fillId="18" borderId="0" xfId="0" applyFont="1" applyFill="1" applyBorder="1"/>
    <xf numFmtId="0" fontId="7" fillId="18" borderId="0" xfId="0" applyFont="1" applyFill="1" applyBorder="1"/>
    <xf numFmtId="166" fontId="2" fillId="18" borderId="0" xfId="0" quotePrefix="1" applyNumberFormat="1" applyFont="1" applyFill="1" applyBorder="1" applyAlignment="1">
      <alignment horizontal="center"/>
    </xf>
    <xf numFmtId="166" fontId="2" fillId="18" borderId="0" xfId="0" applyNumberFormat="1" applyFont="1" applyFill="1" applyBorder="1" applyAlignment="1">
      <alignment horizontal="center"/>
    </xf>
    <xf numFmtId="0" fontId="3" fillId="21" borderId="0" xfId="0" applyFont="1" applyFill="1" applyBorder="1" applyAlignment="1">
      <alignment horizontal="center"/>
    </xf>
    <xf numFmtId="2" fontId="7" fillId="18" borderId="0" xfId="0" applyNumberFormat="1" applyFont="1" applyFill="1" applyBorder="1" applyAlignment="1">
      <alignment horizontal="center"/>
    </xf>
    <xf numFmtId="0" fontId="2" fillId="20" borderId="0" xfId="0" applyFont="1" applyFill="1" applyBorder="1" applyAlignment="1">
      <alignment horizontal="center"/>
    </xf>
    <xf numFmtId="0" fontId="2" fillId="18" borderId="0" xfId="0" applyFont="1" applyFill="1" applyBorder="1" applyAlignment="1">
      <alignment horizontal="center"/>
    </xf>
    <xf numFmtId="0" fontId="2" fillId="21" borderId="0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1" fontId="2" fillId="3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66" fontId="3" fillId="18" borderId="0" xfId="0" applyNumberFormat="1" applyFont="1" applyFill="1" applyBorder="1" applyAlignment="1">
      <alignment horizontal="center"/>
    </xf>
    <xf numFmtId="166" fontId="2" fillId="3" borderId="0" xfId="0" quotePrefix="1" applyNumberFormat="1" applyFont="1" applyFill="1" applyBorder="1" applyAlignment="1">
      <alignment horizontal="center"/>
    </xf>
    <xf numFmtId="0" fontId="3" fillId="0" borderId="0" xfId="0" applyFont="1" applyBorder="1"/>
    <xf numFmtId="2" fontId="2" fillId="18" borderId="0" xfId="0" applyNumberFormat="1" applyFont="1" applyFill="1" applyBorder="1"/>
    <xf numFmtId="0" fontId="2" fillId="18" borderId="0" xfId="0" applyFont="1" applyFill="1" applyBorder="1" applyAlignment="1">
      <alignment horizontal="right"/>
    </xf>
    <xf numFmtId="0" fontId="2" fillId="9" borderId="0" xfId="0" applyFont="1" applyFill="1" applyBorder="1"/>
    <xf numFmtId="2" fontId="2" fillId="9" borderId="0" xfId="0" applyNumberFormat="1" applyFont="1" applyFill="1" applyBorder="1"/>
    <xf numFmtId="0" fontId="3" fillId="9" borderId="0" xfId="0" applyFont="1" applyFill="1" applyBorder="1"/>
    <xf numFmtId="0" fontId="2" fillId="17" borderId="0" xfId="0" applyFont="1" applyFill="1" applyBorder="1" applyAlignment="1">
      <alignment horizontal="center"/>
    </xf>
    <xf numFmtId="0" fontId="3" fillId="18" borderId="0" xfId="0" applyFont="1" applyFill="1" applyBorder="1" applyAlignment="1">
      <alignment vertical="center"/>
    </xf>
    <xf numFmtId="0" fontId="4" fillId="18" borderId="0" xfId="0" applyFont="1" applyFill="1" applyBorder="1" applyAlignment="1">
      <alignment horizontal="center"/>
    </xf>
    <xf numFmtId="164" fontId="3" fillId="16" borderId="0" xfId="0" applyNumberFormat="1" applyFont="1" applyFill="1" applyBorder="1" applyAlignment="1">
      <alignment horizontal="center"/>
    </xf>
    <xf numFmtId="164" fontId="3" fillId="10" borderId="0" xfId="0" quotePrefix="1" applyNumberFormat="1" applyFont="1" applyFill="1" applyBorder="1" applyAlignment="1">
      <alignment horizontal="center"/>
    </xf>
    <xf numFmtId="0" fontId="8" fillId="10" borderId="0" xfId="0" applyFont="1" applyFill="1" applyBorder="1" applyAlignment="1">
      <alignment horizontal="center"/>
    </xf>
    <xf numFmtId="164" fontId="8" fillId="10" borderId="0" xfId="0" applyNumberFormat="1" applyFont="1" applyFill="1" applyBorder="1" applyAlignment="1">
      <alignment horizontal="center"/>
    </xf>
    <xf numFmtId="1" fontId="7" fillId="3" borderId="0" xfId="0" applyNumberFormat="1" applyFont="1" applyFill="1" applyBorder="1" applyAlignment="1">
      <alignment horizontal="center"/>
    </xf>
    <xf numFmtId="164" fontId="7" fillId="3" borderId="0" xfId="0" applyNumberFormat="1" applyFont="1" applyFill="1" applyBorder="1" applyAlignment="1">
      <alignment horizontal="center"/>
    </xf>
    <xf numFmtId="164" fontId="2" fillId="18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164" fontId="3" fillId="0" borderId="0" xfId="0" quotePrefix="1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64" fontId="2" fillId="18" borderId="0" xfId="0" applyNumberFormat="1" applyFont="1" applyFill="1" applyBorder="1" applyAlignment="1">
      <alignment horizontal="left"/>
    </xf>
    <xf numFmtId="0" fontId="3" fillId="18" borderId="0" xfId="0" quotePrefix="1" applyFont="1" applyFill="1" applyBorder="1" applyAlignment="1">
      <alignment horizontal="center"/>
    </xf>
    <xf numFmtId="164" fontId="2" fillId="18" borderId="0" xfId="0" applyNumberFormat="1" applyFont="1" applyFill="1" applyBorder="1"/>
    <xf numFmtId="0" fontId="2" fillId="18" borderId="0" xfId="0" quotePrefix="1" applyFont="1" applyFill="1" applyBorder="1" applyAlignment="1">
      <alignment horizontal="center"/>
    </xf>
    <xf numFmtId="164" fontId="4" fillId="18" borderId="0" xfId="0" applyNumberFormat="1" applyFont="1" applyFill="1" applyBorder="1" applyAlignment="1">
      <alignment horizontal="center"/>
    </xf>
    <xf numFmtId="164" fontId="3" fillId="17" borderId="0" xfId="0" applyNumberFormat="1" applyFont="1" applyFill="1" applyBorder="1" applyAlignment="1">
      <alignment horizontal="center"/>
    </xf>
    <xf numFmtId="0" fontId="2" fillId="18" borderId="0" xfId="0" applyFont="1" applyFill="1" applyBorder="1" applyAlignment="1"/>
    <xf numFmtId="2" fontId="3" fillId="18" borderId="0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right"/>
    </xf>
    <xf numFmtId="2" fontId="3" fillId="21" borderId="0" xfId="0" applyNumberFormat="1" applyFont="1" applyFill="1" applyBorder="1" applyAlignment="1">
      <alignment horizontal="center"/>
    </xf>
    <xf numFmtId="164" fontId="3" fillId="18" borderId="0" xfId="0" quotePrefix="1" applyNumberFormat="1" applyFont="1" applyFill="1" applyBorder="1" applyAlignment="1">
      <alignment horizontal="center"/>
    </xf>
    <xf numFmtId="164" fontId="3" fillId="18" borderId="0" xfId="0" applyNumberFormat="1" applyFont="1" applyFill="1" applyBorder="1" applyAlignment="1">
      <alignment horizontal="center"/>
    </xf>
    <xf numFmtId="1" fontId="3" fillId="18" borderId="0" xfId="0" applyNumberFormat="1" applyFont="1" applyFill="1" applyBorder="1" applyAlignment="1">
      <alignment horizontal="center"/>
    </xf>
    <xf numFmtId="1" fontId="2" fillId="18" borderId="0" xfId="0" applyNumberFormat="1" applyFont="1" applyFill="1" applyBorder="1" applyAlignment="1">
      <alignment horizontal="center"/>
    </xf>
    <xf numFmtId="0" fontId="2" fillId="18" borderId="0" xfId="0" applyFont="1" applyFill="1" applyBorder="1" applyAlignment="1">
      <alignment horizontal="left"/>
    </xf>
    <xf numFmtId="0" fontId="2" fillId="19" borderId="0" xfId="0" applyFont="1" applyFill="1" applyBorder="1" applyAlignment="1">
      <alignment horizontal="center"/>
    </xf>
    <xf numFmtId="0" fontId="2" fillId="19" borderId="0" xfId="0" applyFont="1" applyFill="1" applyBorder="1" applyAlignment="1">
      <alignment horizontal="center" vertical="center"/>
    </xf>
    <xf numFmtId="0" fontId="3" fillId="19" borderId="0" xfId="0" applyFont="1" applyFill="1" applyBorder="1" applyAlignment="1">
      <alignment horizontal="center" vertical="center"/>
    </xf>
    <xf numFmtId="166" fontId="2" fillId="19" borderId="0" xfId="0" quotePrefix="1" applyNumberFormat="1" applyFont="1" applyFill="1" applyBorder="1" applyAlignment="1">
      <alignment horizontal="center"/>
    </xf>
    <xf numFmtId="166" fontId="2" fillId="19" borderId="0" xfId="0" applyNumberFormat="1" applyFont="1" applyFill="1" applyBorder="1" applyAlignment="1">
      <alignment horizontal="center"/>
    </xf>
    <xf numFmtId="2" fontId="2" fillId="19" borderId="0" xfId="0" applyNumberFormat="1" applyFont="1" applyFill="1" applyBorder="1" applyAlignment="1">
      <alignment horizontal="center"/>
    </xf>
    <xf numFmtId="0" fontId="2" fillId="22" borderId="0" xfId="0" applyFont="1" applyFill="1" applyBorder="1" applyAlignment="1">
      <alignment horizontal="center" vertical="center"/>
    </xf>
    <xf numFmtId="0" fontId="3" fillId="22" borderId="0" xfId="0" applyFont="1" applyFill="1" applyBorder="1" applyAlignment="1">
      <alignment horizontal="center" vertical="center"/>
    </xf>
    <xf numFmtId="166" fontId="2" fillId="22" borderId="0" xfId="0" quotePrefix="1" applyNumberFormat="1" applyFont="1" applyFill="1" applyBorder="1" applyAlignment="1">
      <alignment horizontal="center"/>
    </xf>
    <xf numFmtId="166" fontId="2" fillId="22" borderId="0" xfId="0" applyNumberFormat="1" applyFont="1" applyFill="1" applyBorder="1" applyAlignment="1">
      <alignment horizontal="center"/>
    </xf>
    <xf numFmtId="2" fontId="2" fillId="22" borderId="0" xfId="0" applyNumberFormat="1" applyFont="1" applyFill="1" applyBorder="1" applyAlignment="1">
      <alignment horizontal="center"/>
    </xf>
    <xf numFmtId="164" fontId="2" fillId="22" borderId="0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center" wrapText="1"/>
    </xf>
    <xf numFmtId="10" fontId="2" fillId="21" borderId="0" xfId="1" applyNumberFormat="1" applyFont="1" applyFill="1" applyBorder="1" applyAlignment="1">
      <alignment horizontal="center"/>
    </xf>
    <xf numFmtId="10" fontId="2" fillId="22" borderId="0" xfId="1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center"/>
    </xf>
    <xf numFmtId="2" fontId="3" fillId="18" borderId="0" xfId="0" applyNumberFormat="1" applyFont="1" applyFill="1" applyBorder="1" applyAlignment="1">
      <alignment horizontal="center"/>
    </xf>
    <xf numFmtId="164" fontId="2" fillId="18" borderId="0" xfId="0" applyNumberFormat="1" applyFont="1" applyFill="1" applyBorder="1" applyAlignment="1">
      <alignment horizontal="center"/>
    </xf>
    <xf numFmtId="0" fontId="3" fillId="14" borderId="0" xfId="0" quotePrefix="1" applyNumberFormat="1" applyFont="1" applyFill="1" applyBorder="1" applyAlignment="1">
      <alignment horizontal="center"/>
    </xf>
    <xf numFmtId="0" fontId="3" fillId="21" borderId="0" xfId="0" applyFont="1" applyFill="1" applyBorder="1" applyAlignment="1">
      <alignment horizontal="right"/>
    </xf>
    <xf numFmtId="0" fontId="2" fillId="21" borderId="0" xfId="0" applyFont="1" applyFill="1" applyBorder="1" applyAlignment="1">
      <alignment horizontal="left"/>
    </xf>
    <xf numFmtId="2" fontId="3" fillId="18" borderId="0" xfId="0" applyNumberFormat="1" applyFont="1" applyFill="1" applyBorder="1" applyAlignment="1"/>
    <xf numFmtId="164" fontId="11" fillId="18" borderId="0" xfId="0" applyNumberFormat="1" applyFont="1" applyFill="1" applyBorder="1" applyAlignment="1">
      <alignment horizontal="center"/>
    </xf>
    <xf numFmtId="0" fontId="12" fillId="18" borderId="0" xfId="0" quotePrefix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11" fillId="18" borderId="0" xfId="0" applyFont="1" applyFill="1" applyBorder="1" applyAlignment="1">
      <alignment horizontal="center"/>
    </xf>
    <xf numFmtId="0" fontId="13" fillId="18" borderId="0" xfId="0" applyFont="1" applyFill="1" applyBorder="1" applyAlignment="1">
      <alignment horizontal="center"/>
    </xf>
    <xf numFmtId="0" fontId="11" fillId="18" borderId="0" xfId="0" applyFont="1" applyFill="1" applyBorder="1"/>
    <xf numFmtId="2" fontId="11" fillId="18" borderId="0" xfId="0" applyNumberFormat="1" applyFont="1" applyFill="1" applyBorder="1" applyAlignment="1">
      <alignment horizontal="center"/>
    </xf>
    <xf numFmtId="0" fontId="13" fillId="18" borderId="0" xfId="0" applyFont="1" applyFill="1" applyBorder="1"/>
    <xf numFmtId="0" fontId="11" fillId="0" borderId="0" xfId="0" applyFont="1" applyBorder="1"/>
    <xf numFmtId="2" fontId="14" fillId="18" borderId="0" xfId="0" quotePrefix="1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center"/>
    </xf>
    <xf numFmtId="164" fontId="2" fillId="18" borderId="0" xfId="0" applyNumberFormat="1" applyFont="1" applyFill="1" applyBorder="1" applyAlignment="1">
      <alignment horizontal="center"/>
    </xf>
    <xf numFmtId="0" fontId="2" fillId="18" borderId="0" xfId="0" applyFont="1" applyFill="1" applyBorder="1" applyAlignment="1">
      <alignment horizontal="center"/>
    </xf>
    <xf numFmtId="2" fontId="3" fillId="18" borderId="0" xfId="0" applyNumberFormat="1" applyFont="1" applyFill="1" applyBorder="1" applyAlignment="1">
      <alignment horizontal="center"/>
    </xf>
    <xf numFmtId="9" fontId="2" fillId="9" borderId="0" xfId="1" applyFont="1" applyFill="1" applyBorder="1" applyAlignment="1">
      <alignment horizontal="center"/>
    </xf>
    <xf numFmtId="2" fontId="3" fillId="14" borderId="0" xfId="0" applyNumberFormat="1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15" fillId="5" borderId="0" xfId="0" quotePrefix="1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5" fillId="16" borderId="0" xfId="0" applyFont="1" applyFill="1" applyBorder="1" applyAlignment="1">
      <alignment horizontal="center" vertical="center"/>
    </xf>
    <xf numFmtId="0" fontId="3" fillId="23" borderId="0" xfId="0" applyFont="1" applyFill="1" applyBorder="1" applyAlignment="1">
      <alignment horizontal="center"/>
    </xf>
    <xf numFmtId="0" fontId="3" fillId="18" borderId="0" xfId="0" applyFont="1" applyFill="1" applyBorder="1" applyAlignment="1">
      <alignment horizontal="center"/>
    </xf>
    <xf numFmtId="164" fontId="2" fillId="18" borderId="0" xfId="0" applyNumberFormat="1" applyFont="1" applyFill="1" applyBorder="1" applyAlignment="1">
      <alignment horizontal="center"/>
    </xf>
    <xf numFmtId="0" fontId="2" fillId="18" borderId="0" xfId="0" applyFont="1" applyFill="1" applyBorder="1" applyAlignment="1">
      <alignment horizontal="center"/>
    </xf>
    <xf numFmtId="9" fontId="2" fillId="9" borderId="0" xfId="1" applyFont="1" applyFill="1" applyBorder="1" applyAlignment="1">
      <alignment horizontal="center"/>
    </xf>
    <xf numFmtId="2" fontId="3" fillId="14" borderId="0" xfId="0" applyNumberFormat="1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2" fontId="3" fillId="18" borderId="0" xfId="0" applyNumberFormat="1" applyFont="1" applyFill="1" applyBorder="1" applyAlignment="1">
      <alignment horizontal="center"/>
    </xf>
    <xf numFmtId="164" fontId="3" fillId="9" borderId="0" xfId="0" applyNumberFormat="1" applyFont="1" applyFill="1" applyBorder="1" applyAlignment="1">
      <alignment horizontal="center"/>
    </xf>
    <xf numFmtId="164" fontId="3" fillId="14" borderId="0" xfId="0" applyNumberFormat="1" applyFont="1" applyFill="1" applyBorder="1" applyAlignment="1">
      <alignment horizontal="center"/>
    </xf>
    <xf numFmtId="169" fontId="2" fillId="5" borderId="0" xfId="0" applyNumberFormat="1" applyFont="1" applyFill="1" applyBorder="1" applyAlignment="1">
      <alignment horizontal="center"/>
    </xf>
    <xf numFmtId="0" fontId="3" fillId="21" borderId="0" xfId="0" applyFont="1" applyFill="1" applyBorder="1" applyAlignment="1">
      <alignment horizontal="center" vertical="center"/>
    </xf>
    <xf numFmtId="164" fontId="3" fillId="9" borderId="0" xfId="0" applyNumberFormat="1" applyFont="1" applyFill="1" applyBorder="1" applyAlignment="1"/>
    <xf numFmtId="0" fontId="2" fillId="0" borderId="0" xfId="0" applyFont="1" applyBorder="1" applyAlignment="1">
      <alignment horizontal="center"/>
    </xf>
    <xf numFmtId="165" fontId="2" fillId="18" borderId="0" xfId="0" applyNumberFormat="1" applyFont="1" applyFill="1" applyBorder="1" applyAlignment="1">
      <alignment horizontal="center"/>
    </xf>
    <xf numFmtId="0" fontId="17" fillId="18" borderId="0" xfId="0" quotePrefix="1" applyFont="1" applyFill="1" applyBorder="1" applyAlignment="1">
      <alignment horizontal="center"/>
    </xf>
    <xf numFmtId="2" fontId="16" fillId="18" borderId="0" xfId="0" quotePrefix="1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4">
    <dxf>
      <font>
        <color theme="1" tint="0.499984740745262"/>
      </font>
    </dxf>
    <dxf>
      <font>
        <b/>
        <i val="0"/>
      </font>
    </dxf>
    <dxf>
      <font>
        <color theme="1" tint="0.499984740745262"/>
      </font>
    </dxf>
    <dxf>
      <font>
        <b/>
        <i val="0"/>
      </font>
    </dxf>
  </dxfs>
  <tableStyles count="0" defaultTableStyle="TableStyleMedium2" defaultPivotStyle="PivotStyleLight16"/>
  <colors>
    <mruColors>
      <color rgb="FFC5FFCC"/>
      <color rgb="FFFFD1D1"/>
      <color rgb="FFCCFF99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Normal</a:t>
            </a:r>
            <a:r>
              <a:rPr lang="en-US" sz="1100" b="1" baseline="0"/>
              <a:t> Probability Plot</a:t>
            </a:r>
            <a:endParaRPr lang="en-US" sz="1100" b="1"/>
          </a:p>
        </c:rich>
      </c:tx>
      <c:layout>
        <c:manualLayout>
          <c:xMode val="edge"/>
          <c:yMode val="edge"/>
          <c:x val="0.30478760976407693"/>
          <c:y val="1.01426915445256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00237540139883"/>
          <c:y val="0.13716811714325183"/>
          <c:w val="0.79162275106673119"/>
          <c:h val="0.6988054023611420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4.9631006111104409E-2"/>
                  <c:y val="0.5007768971863095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'2k2'!$V$10:$V$21</c:f>
              <c:numCache>
                <c:formatCode>0.000</c:formatCode>
                <c:ptCount val="12"/>
                <c:pt idx="0">
                  <c:v>-1.7316643961222451</c:v>
                </c:pt>
                <c:pt idx="1">
                  <c:v>-1.1503493803760083</c:v>
                </c:pt>
                <c:pt idx="2">
                  <c:v>-0.81221780149991241</c:v>
                </c:pt>
                <c:pt idx="3">
                  <c:v>-0.54852228269809788</c:v>
                </c:pt>
                <c:pt idx="4">
                  <c:v>-0.3186393639643752</c:v>
                </c:pt>
                <c:pt idx="5">
                  <c:v>-0.10463345561407539</c:v>
                </c:pt>
                <c:pt idx="6">
                  <c:v>0.10463345561407525</c:v>
                </c:pt>
                <c:pt idx="7">
                  <c:v>0.3186393639643752</c:v>
                </c:pt>
                <c:pt idx="8">
                  <c:v>0.54852228269809822</c:v>
                </c:pt>
                <c:pt idx="9">
                  <c:v>0.81221780149991241</c:v>
                </c:pt>
                <c:pt idx="10">
                  <c:v>1.1503493803760083</c:v>
                </c:pt>
                <c:pt idx="11">
                  <c:v>1.7316643961222455</c:v>
                </c:pt>
              </c:numCache>
            </c:numRef>
          </c:xVal>
          <c:yVal>
            <c:numRef>
              <c:f>'2k2'!$Y$10:$Y$21</c:f>
              <c:numCache>
                <c:formatCode>0.00</c:formatCode>
                <c:ptCount val="12"/>
                <c:pt idx="0">
                  <c:v>12.9</c:v>
                </c:pt>
                <c:pt idx="1">
                  <c:v>14.2</c:v>
                </c:pt>
                <c:pt idx="2">
                  <c:v>14.4</c:v>
                </c:pt>
                <c:pt idx="3">
                  <c:v>14.5</c:v>
                </c:pt>
                <c:pt idx="4">
                  <c:v>15.1</c:v>
                </c:pt>
                <c:pt idx="5">
                  <c:v>18.899999999999999</c:v>
                </c:pt>
                <c:pt idx="6">
                  <c:v>22.4</c:v>
                </c:pt>
                <c:pt idx="7">
                  <c:v>22.5</c:v>
                </c:pt>
                <c:pt idx="8">
                  <c:v>24</c:v>
                </c:pt>
                <c:pt idx="9">
                  <c:v>36.299999999999997</c:v>
                </c:pt>
                <c:pt idx="10">
                  <c:v>39.9</c:v>
                </c:pt>
                <c:pt idx="11">
                  <c:v>43.9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EE-4960-8B4A-32682A86D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7470936"/>
        <c:axId val="527473888"/>
      </c:scatterChart>
      <c:valAx>
        <c:axId val="527470936"/>
        <c:scaling>
          <c:orientation val="minMax"/>
          <c:max val="2"/>
          <c:min val="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Z-Score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473888"/>
        <c:crosses val="autoZero"/>
        <c:crossBetween val="midCat"/>
      </c:valAx>
      <c:valAx>
        <c:axId val="5274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Response</a:t>
                </a:r>
                <a:r>
                  <a:rPr lang="en-US" b="1" baseline="0"/>
                  <a:t> Value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470936"/>
        <c:crosses val="autoZero"/>
        <c:crossBetween val="midCat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45"/>
      <c:hPercent val="100"/>
      <c:rotY val="45"/>
      <c:depthPercent val="100"/>
      <c:rAngAx val="0"/>
      <c:perspective val="9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692038495188102E-2"/>
          <c:y val="0"/>
          <c:w val="0.7563206930775892"/>
          <c:h val="1"/>
        </c:manualLayout>
      </c:layout>
      <c:surface3DChart>
        <c:wireframe val="0"/>
        <c:ser>
          <c:idx val="0"/>
          <c:order val="0"/>
          <c:tx>
            <c:strRef>
              <c:f>'2k3'!$M$141</c:f>
              <c:strCache>
                <c:ptCount val="1"/>
                <c:pt idx="0">
                  <c:v>1.50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44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44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44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44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44000"/>
                  <a:shade val="95000"/>
                </a:schemeClr>
              </a:contourClr>
            </a:sp3d>
          </c:spPr>
          <c:cat>
            <c:numRef>
              <c:f>'2k3'!$O$139:$W$139</c:f>
              <c:numCache>
                <c:formatCode>0.00</c:formatCode>
                <c:ptCount val="9"/>
                <c:pt idx="0">
                  <c:v>40</c:v>
                </c:pt>
                <c:pt idx="1">
                  <c:v>42.5</c:v>
                </c:pt>
                <c:pt idx="2">
                  <c:v>45</c:v>
                </c:pt>
                <c:pt idx="3">
                  <c:v>47.5</c:v>
                </c:pt>
                <c:pt idx="4">
                  <c:v>50</c:v>
                </c:pt>
                <c:pt idx="5">
                  <c:v>52.5</c:v>
                </c:pt>
                <c:pt idx="6">
                  <c:v>55</c:v>
                </c:pt>
                <c:pt idx="7">
                  <c:v>57.5</c:v>
                </c:pt>
                <c:pt idx="8">
                  <c:v>60</c:v>
                </c:pt>
              </c:numCache>
            </c:numRef>
          </c:cat>
          <c:val>
            <c:numRef>
              <c:f>'2k3'!$O$141:$W$141</c:f>
              <c:numCache>
                <c:formatCode>0.00</c:formatCode>
                <c:ptCount val="9"/>
                <c:pt idx="0">
                  <c:v>8.0000450000000001</c:v>
                </c:pt>
                <c:pt idx="1">
                  <c:v>8.375045625000002</c:v>
                </c:pt>
                <c:pt idx="2">
                  <c:v>8.7500462500000005</c:v>
                </c:pt>
                <c:pt idx="3">
                  <c:v>9.1250468750000007</c:v>
                </c:pt>
                <c:pt idx="4">
                  <c:v>9.5000474999999991</c:v>
                </c:pt>
                <c:pt idx="5">
                  <c:v>9.8750481250000011</c:v>
                </c:pt>
                <c:pt idx="6">
                  <c:v>10.250048749999998</c:v>
                </c:pt>
                <c:pt idx="7">
                  <c:v>10.625049375</c:v>
                </c:pt>
                <c:pt idx="8">
                  <c:v>11.000050000000002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6-401A-8CC4-C0D3D426DD86}"/>
            </c:ext>
          </c:extLst>
        </c:ser>
        <c:ser>
          <c:idx val="1"/>
          <c:order val="1"/>
          <c:tx>
            <c:strRef>
              <c:f>'2k3'!$M$142</c:f>
              <c:strCache>
                <c:ptCount val="1"/>
                <c:pt idx="0">
                  <c:v>1.63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8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58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58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58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58000"/>
                  <a:shade val="95000"/>
                </a:schemeClr>
              </a:contourClr>
            </a:sp3d>
          </c:spPr>
          <c:cat>
            <c:numRef>
              <c:f>'2k3'!$O$139:$W$139</c:f>
              <c:numCache>
                <c:formatCode>0.00</c:formatCode>
                <c:ptCount val="9"/>
                <c:pt idx="0">
                  <c:v>40</c:v>
                </c:pt>
                <c:pt idx="1">
                  <c:v>42.5</c:v>
                </c:pt>
                <c:pt idx="2">
                  <c:v>45</c:v>
                </c:pt>
                <c:pt idx="3">
                  <c:v>47.5</c:v>
                </c:pt>
                <c:pt idx="4">
                  <c:v>50</c:v>
                </c:pt>
                <c:pt idx="5">
                  <c:v>52.5</c:v>
                </c:pt>
                <c:pt idx="6">
                  <c:v>55</c:v>
                </c:pt>
                <c:pt idx="7">
                  <c:v>57.5</c:v>
                </c:pt>
                <c:pt idx="8">
                  <c:v>60</c:v>
                </c:pt>
              </c:numCache>
            </c:numRef>
          </c:cat>
          <c:val>
            <c:numRef>
              <c:f>'2k3'!$O$142:$W$142</c:f>
              <c:numCache>
                <c:formatCode>0.00</c:formatCode>
                <c:ptCount val="9"/>
                <c:pt idx="0">
                  <c:v>8.3125413187500001</c:v>
                </c:pt>
                <c:pt idx="1">
                  <c:v>8.656292091406252</c:v>
                </c:pt>
                <c:pt idx="2">
                  <c:v>9.0000428640624985</c:v>
                </c:pt>
                <c:pt idx="3">
                  <c:v>9.3437936367187504</c:v>
                </c:pt>
                <c:pt idx="4">
                  <c:v>9.6875444093749987</c:v>
                </c:pt>
                <c:pt idx="5">
                  <c:v>10.031295182031251</c:v>
                </c:pt>
                <c:pt idx="6">
                  <c:v>10.375045954687499</c:v>
                </c:pt>
                <c:pt idx="7">
                  <c:v>10.718796727343749</c:v>
                </c:pt>
                <c:pt idx="8">
                  <c:v>11.062547500000001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06-401A-8CC4-C0D3D426DD86}"/>
            </c:ext>
          </c:extLst>
        </c:ser>
        <c:ser>
          <c:idx val="2"/>
          <c:order val="2"/>
          <c:tx>
            <c:strRef>
              <c:f>'2k3'!$M$143</c:f>
              <c:strCache>
                <c:ptCount val="1"/>
                <c:pt idx="0">
                  <c:v>1.75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2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2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2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72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72000"/>
                  <a:shade val="95000"/>
                </a:schemeClr>
              </a:contourClr>
            </a:sp3d>
          </c:spPr>
          <c:cat>
            <c:numRef>
              <c:f>'2k3'!$O$139:$W$139</c:f>
              <c:numCache>
                <c:formatCode>0.00</c:formatCode>
                <c:ptCount val="9"/>
                <c:pt idx="0">
                  <c:v>40</c:v>
                </c:pt>
                <c:pt idx="1">
                  <c:v>42.5</c:v>
                </c:pt>
                <c:pt idx="2">
                  <c:v>45</c:v>
                </c:pt>
                <c:pt idx="3">
                  <c:v>47.5</c:v>
                </c:pt>
                <c:pt idx="4">
                  <c:v>50</c:v>
                </c:pt>
                <c:pt idx="5">
                  <c:v>52.5</c:v>
                </c:pt>
                <c:pt idx="6">
                  <c:v>55</c:v>
                </c:pt>
                <c:pt idx="7">
                  <c:v>57.5</c:v>
                </c:pt>
                <c:pt idx="8">
                  <c:v>60</c:v>
                </c:pt>
              </c:numCache>
            </c:numRef>
          </c:cat>
          <c:val>
            <c:numRef>
              <c:f>'2k3'!$O$143:$W$143</c:f>
              <c:numCache>
                <c:formatCode>0.00</c:formatCode>
                <c:ptCount val="9"/>
                <c:pt idx="0">
                  <c:v>8.625037637500002</c:v>
                </c:pt>
                <c:pt idx="1">
                  <c:v>8.9375385578125019</c:v>
                </c:pt>
                <c:pt idx="2">
                  <c:v>9.2500394781250002</c:v>
                </c:pt>
                <c:pt idx="3">
                  <c:v>9.5625403984375019</c:v>
                </c:pt>
                <c:pt idx="4">
                  <c:v>9.8750413187500001</c:v>
                </c:pt>
                <c:pt idx="5">
                  <c:v>10.187542239062502</c:v>
                </c:pt>
                <c:pt idx="6">
                  <c:v>10.500043159375</c:v>
                </c:pt>
                <c:pt idx="7">
                  <c:v>10.812544079687502</c:v>
                </c:pt>
                <c:pt idx="8">
                  <c:v>11.125045000000002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06-401A-8CC4-C0D3D426DD86}"/>
            </c:ext>
          </c:extLst>
        </c:ser>
        <c:ser>
          <c:idx val="3"/>
          <c:order val="3"/>
          <c:tx>
            <c:strRef>
              <c:f>'2k3'!$M$144</c:f>
              <c:strCache>
                <c:ptCount val="1"/>
                <c:pt idx="0">
                  <c:v>1.88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86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86000"/>
                  <a:shade val="95000"/>
                </a:schemeClr>
              </a:contourClr>
            </a:sp3d>
          </c:spPr>
          <c:cat>
            <c:numRef>
              <c:f>'2k3'!$O$139:$W$139</c:f>
              <c:numCache>
                <c:formatCode>0.00</c:formatCode>
                <c:ptCount val="9"/>
                <c:pt idx="0">
                  <c:v>40</c:v>
                </c:pt>
                <c:pt idx="1">
                  <c:v>42.5</c:v>
                </c:pt>
                <c:pt idx="2">
                  <c:v>45</c:v>
                </c:pt>
                <c:pt idx="3">
                  <c:v>47.5</c:v>
                </c:pt>
                <c:pt idx="4">
                  <c:v>50</c:v>
                </c:pt>
                <c:pt idx="5">
                  <c:v>52.5</c:v>
                </c:pt>
                <c:pt idx="6">
                  <c:v>55</c:v>
                </c:pt>
                <c:pt idx="7">
                  <c:v>57.5</c:v>
                </c:pt>
                <c:pt idx="8">
                  <c:v>60</c:v>
                </c:pt>
              </c:numCache>
            </c:numRef>
          </c:cat>
          <c:val>
            <c:numRef>
              <c:f>'2k3'!$O$144:$W$144</c:f>
              <c:numCache>
                <c:formatCode>0.00</c:formatCode>
                <c:ptCount val="9"/>
                <c:pt idx="0">
                  <c:v>8.937533956250002</c:v>
                </c:pt>
                <c:pt idx="1">
                  <c:v>9.2187850242187519</c:v>
                </c:pt>
                <c:pt idx="2">
                  <c:v>9.5000360921875</c:v>
                </c:pt>
                <c:pt idx="3">
                  <c:v>9.7812871601562517</c:v>
                </c:pt>
                <c:pt idx="4">
                  <c:v>10.062538228125</c:v>
                </c:pt>
                <c:pt idx="5">
                  <c:v>10.343789296093751</c:v>
                </c:pt>
                <c:pt idx="6">
                  <c:v>10.6250403640625</c:v>
                </c:pt>
                <c:pt idx="7">
                  <c:v>10.906291432031251</c:v>
                </c:pt>
                <c:pt idx="8">
                  <c:v>11.187542500000001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06-401A-8CC4-C0D3D426DD86}"/>
            </c:ext>
          </c:extLst>
        </c:ser>
        <c:ser>
          <c:idx val="4"/>
          <c:order val="4"/>
          <c:tx>
            <c:strRef>
              <c:f>'2k3'!$M$145</c:f>
              <c:strCache>
                <c:ptCount val="1"/>
                <c:pt idx="0">
                  <c:v>2.00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cat>
            <c:numRef>
              <c:f>'2k3'!$O$139:$W$139</c:f>
              <c:numCache>
                <c:formatCode>0.00</c:formatCode>
                <c:ptCount val="9"/>
                <c:pt idx="0">
                  <c:v>40</c:v>
                </c:pt>
                <c:pt idx="1">
                  <c:v>42.5</c:v>
                </c:pt>
                <c:pt idx="2">
                  <c:v>45</c:v>
                </c:pt>
                <c:pt idx="3">
                  <c:v>47.5</c:v>
                </c:pt>
                <c:pt idx="4">
                  <c:v>50</c:v>
                </c:pt>
                <c:pt idx="5">
                  <c:v>52.5</c:v>
                </c:pt>
                <c:pt idx="6">
                  <c:v>55</c:v>
                </c:pt>
                <c:pt idx="7">
                  <c:v>57.5</c:v>
                </c:pt>
                <c:pt idx="8">
                  <c:v>60</c:v>
                </c:pt>
              </c:numCache>
            </c:numRef>
          </c:cat>
          <c:val>
            <c:numRef>
              <c:f>'2k3'!$O$145:$W$145</c:f>
              <c:numCache>
                <c:formatCode>0.00</c:formatCode>
                <c:ptCount val="9"/>
                <c:pt idx="0">
                  <c:v>9.2500302750000003</c:v>
                </c:pt>
                <c:pt idx="1">
                  <c:v>9.5000314906250019</c:v>
                </c:pt>
                <c:pt idx="2">
                  <c:v>9.7500327062499998</c:v>
                </c:pt>
                <c:pt idx="3">
                  <c:v>10.000033921875001</c:v>
                </c:pt>
                <c:pt idx="4">
                  <c:v>10.250035137499999</c:v>
                </c:pt>
                <c:pt idx="5">
                  <c:v>10.500036353125001</c:v>
                </c:pt>
                <c:pt idx="6">
                  <c:v>10.750037568749999</c:v>
                </c:pt>
                <c:pt idx="7">
                  <c:v>11.000038784375</c:v>
                </c:pt>
                <c:pt idx="8">
                  <c:v>11.250040000000002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06-401A-8CC4-C0D3D426DD86}"/>
            </c:ext>
          </c:extLst>
        </c:ser>
        <c:ser>
          <c:idx val="5"/>
          <c:order val="5"/>
          <c:tx>
            <c:strRef>
              <c:f>'2k3'!$M$146</c:f>
              <c:strCache>
                <c:ptCount val="1"/>
                <c:pt idx="0">
                  <c:v>2.13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86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tint val="86000"/>
                  <a:shade val="95000"/>
                </a:schemeClr>
              </a:contourClr>
            </a:sp3d>
          </c:spPr>
          <c:cat>
            <c:numRef>
              <c:f>'2k3'!$O$139:$W$139</c:f>
              <c:numCache>
                <c:formatCode>0.00</c:formatCode>
                <c:ptCount val="9"/>
                <c:pt idx="0">
                  <c:v>40</c:v>
                </c:pt>
                <c:pt idx="1">
                  <c:v>42.5</c:v>
                </c:pt>
                <c:pt idx="2">
                  <c:v>45</c:v>
                </c:pt>
                <c:pt idx="3">
                  <c:v>47.5</c:v>
                </c:pt>
                <c:pt idx="4">
                  <c:v>50</c:v>
                </c:pt>
                <c:pt idx="5">
                  <c:v>52.5</c:v>
                </c:pt>
                <c:pt idx="6">
                  <c:v>55</c:v>
                </c:pt>
                <c:pt idx="7">
                  <c:v>57.5</c:v>
                </c:pt>
                <c:pt idx="8">
                  <c:v>60</c:v>
                </c:pt>
              </c:numCache>
            </c:numRef>
          </c:cat>
          <c:val>
            <c:numRef>
              <c:f>'2k3'!$O$146:$W$146</c:f>
              <c:numCache>
                <c:formatCode>0.00</c:formatCode>
                <c:ptCount val="9"/>
                <c:pt idx="0">
                  <c:v>9.5625265937500021</c:v>
                </c:pt>
                <c:pt idx="1">
                  <c:v>9.7812779570312518</c:v>
                </c:pt>
                <c:pt idx="2">
                  <c:v>10.0000293203125</c:v>
                </c:pt>
                <c:pt idx="3">
                  <c:v>10.218780683593751</c:v>
                </c:pt>
                <c:pt idx="4">
                  <c:v>10.437532046874999</c:v>
                </c:pt>
                <c:pt idx="5">
                  <c:v>10.65628341015625</c:v>
                </c:pt>
                <c:pt idx="6">
                  <c:v>10.875034773437498</c:v>
                </c:pt>
                <c:pt idx="7">
                  <c:v>11.09378613671875</c:v>
                </c:pt>
                <c:pt idx="8">
                  <c:v>11.312537499999999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06-401A-8CC4-C0D3D426DD86}"/>
            </c:ext>
          </c:extLst>
        </c:ser>
        <c:ser>
          <c:idx val="6"/>
          <c:order val="6"/>
          <c:tx>
            <c:strRef>
              <c:f>'2k3'!$M$147</c:f>
              <c:strCache>
                <c:ptCount val="1"/>
                <c:pt idx="0">
                  <c:v>2.25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72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2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2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72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tint val="72000"/>
                  <a:shade val="95000"/>
                </a:schemeClr>
              </a:contourClr>
            </a:sp3d>
          </c:spPr>
          <c:cat>
            <c:numRef>
              <c:f>'2k3'!$O$139:$W$139</c:f>
              <c:numCache>
                <c:formatCode>0.00</c:formatCode>
                <c:ptCount val="9"/>
                <c:pt idx="0">
                  <c:v>40</c:v>
                </c:pt>
                <c:pt idx="1">
                  <c:v>42.5</c:v>
                </c:pt>
                <c:pt idx="2">
                  <c:v>45</c:v>
                </c:pt>
                <c:pt idx="3">
                  <c:v>47.5</c:v>
                </c:pt>
                <c:pt idx="4">
                  <c:v>50</c:v>
                </c:pt>
                <c:pt idx="5">
                  <c:v>52.5</c:v>
                </c:pt>
                <c:pt idx="6">
                  <c:v>55</c:v>
                </c:pt>
                <c:pt idx="7">
                  <c:v>57.5</c:v>
                </c:pt>
                <c:pt idx="8">
                  <c:v>60</c:v>
                </c:pt>
              </c:numCache>
            </c:numRef>
          </c:cat>
          <c:val>
            <c:numRef>
              <c:f>'2k3'!$O$147:$W$147</c:f>
              <c:numCache>
                <c:formatCode>0.00</c:formatCode>
                <c:ptCount val="9"/>
                <c:pt idx="0">
                  <c:v>9.8750229124999986</c:v>
                </c:pt>
                <c:pt idx="1">
                  <c:v>10.062524423437502</c:v>
                </c:pt>
                <c:pt idx="2">
                  <c:v>10.250025934375</c:v>
                </c:pt>
                <c:pt idx="3">
                  <c:v>10.437527445312501</c:v>
                </c:pt>
                <c:pt idx="4">
                  <c:v>10.625028956249999</c:v>
                </c:pt>
                <c:pt idx="5">
                  <c:v>10.8125304671875</c:v>
                </c:pt>
                <c:pt idx="6">
                  <c:v>11.000031978124998</c:v>
                </c:pt>
                <c:pt idx="7">
                  <c:v>11.187533489062499</c:v>
                </c:pt>
                <c:pt idx="8">
                  <c:v>11.375035000000002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06-401A-8CC4-C0D3D426DD86}"/>
            </c:ext>
          </c:extLst>
        </c:ser>
        <c:ser>
          <c:idx val="7"/>
          <c:order val="7"/>
          <c:tx>
            <c:strRef>
              <c:f>'2k3'!$M$148</c:f>
              <c:strCache>
                <c:ptCount val="1"/>
                <c:pt idx="0">
                  <c:v>2.38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8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58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58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58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tint val="58000"/>
                  <a:shade val="95000"/>
                </a:schemeClr>
              </a:contourClr>
            </a:sp3d>
          </c:spPr>
          <c:cat>
            <c:numRef>
              <c:f>'2k3'!$O$139:$W$139</c:f>
              <c:numCache>
                <c:formatCode>0.00</c:formatCode>
                <c:ptCount val="9"/>
                <c:pt idx="0">
                  <c:v>40</c:v>
                </c:pt>
                <c:pt idx="1">
                  <c:v>42.5</c:v>
                </c:pt>
                <c:pt idx="2">
                  <c:v>45</c:v>
                </c:pt>
                <c:pt idx="3">
                  <c:v>47.5</c:v>
                </c:pt>
                <c:pt idx="4">
                  <c:v>50</c:v>
                </c:pt>
                <c:pt idx="5">
                  <c:v>52.5</c:v>
                </c:pt>
                <c:pt idx="6">
                  <c:v>55</c:v>
                </c:pt>
                <c:pt idx="7">
                  <c:v>57.5</c:v>
                </c:pt>
                <c:pt idx="8">
                  <c:v>60</c:v>
                </c:pt>
              </c:numCache>
            </c:numRef>
          </c:cat>
          <c:val>
            <c:numRef>
              <c:f>'2k3'!$O$148:$W$148</c:f>
              <c:numCache>
                <c:formatCode>0.00</c:formatCode>
                <c:ptCount val="9"/>
                <c:pt idx="0">
                  <c:v>10.18751923125</c:v>
                </c:pt>
                <c:pt idx="1">
                  <c:v>10.343770889843752</c:v>
                </c:pt>
                <c:pt idx="2">
                  <c:v>10.500022548437501</c:v>
                </c:pt>
                <c:pt idx="3">
                  <c:v>10.656274207031252</c:v>
                </c:pt>
                <c:pt idx="4">
                  <c:v>10.812525865625</c:v>
                </c:pt>
                <c:pt idx="5">
                  <c:v>10.968777524218751</c:v>
                </c:pt>
                <c:pt idx="6">
                  <c:v>11.125029182812499</c:v>
                </c:pt>
                <c:pt idx="7">
                  <c:v>11.281280841406252</c:v>
                </c:pt>
                <c:pt idx="8">
                  <c:v>11.437532500000003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06-401A-8CC4-C0D3D426DD86}"/>
            </c:ext>
          </c:extLst>
        </c:ser>
        <c:ser>
          <c:idx val="8"/>
          <c:order val="8"/>
          <c:tx>
            <c:strRef>
              <c:f>'2k3'!$M$149</c:f>
              <c:strCache>
                <c:ptCount val="1"/>
                <c:pt idx="0">
                  <c:v>2.50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4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44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44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44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tint val="44000"/>
                  <a:shade val="95000"/>
                </a:schemeClr>
              </a:contourClr>
            </a:sp3d>
          </c:spPr>
          <c:cat>
            <c:numRef>
              <c:f>'2k3'!$O$139:$W$139</c:f>
              <c:numCache>
                <c:formatCode>0.00</c:formatCode>
                <c:ptCount val="9"/>
                <c:pt idx="0">
                  <c:v>40</c:v>
                </c:pt>
                <c:pt idx="1">
                  <c:v>42.5</c:v>
                </c:pt>
                <c:pt idx="2">
                  <c:v>45</c:v>
                </c:pt>
                <c:pt idx="3">
                  <c:v>47.5</c:v>
                </c:pt>
                <c:pt idx="4">
                  <c:v>50</c:v>
                </c:pt>
                <c:pt idx="5">
                  <c:v>52.5</c:v>
                </c:pt>
                <c:pt idx="6">
                  <c:v>55</c:v>
                </c:pt>
                <c:pt idx="7">
                  <c:v>57.5</c:v>
                </c:pt>
                <c:pt idx="8">
                  <c:v>60</c:v>
                </c:pt>
              </c:numCache>
            </c:numRef>
          </c:cat>
          <c:val>
            <c:numRef>
              <c:f>'2k3'!$O$149:$W$149</c:f>
              <c:numCache>
                <c:formatCode>0.00</c:formatCode>
                <c:ptCount val="9"/>
                <c:pt idx="0">
                  <c:v>10.500015550000004</c:v>
                </c:pt>
                <c:pt idx="1">
                  <c:v>10.625017356250002</c:v>
                </c:pt>
                <c:pt idx="2">
                  <c:v>10.750019162499999</c:v>
                </c:pt>
                <c:pt idx="3">
                  <c:v>10.875020968750002</c:v>
                </c:pt>
                <c:pt idx="4">
                  <c:v>11.000022775</c:v>
                </c:pt>
                <c:pt idx="5">
                  <c:v>11.125024581250001</c:v>
                </c:pt>
                <c:pt idx="6">
                  <c:v>11.2500263875</c:v>
                </c:pt>
                <c:pt idx="7">
                  <c:v>11.375028193750001</c:v>
                </c:pt>
                <c:pt idx="8">
                  <c:v>11.500029999999999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06-401A-8CC4-C0D3D426DD86}"/>
            </c:ext>
          </c:extLst>
        </c:ser>
        <c:bandFmts>
          <c:bandFmt>
            <c:idx val="0"/>
            <c:spPr>
              <a:gradFill rotWithShape="1">
                <a:gsLst>
                  <a:gs pos="0">
                    <a:schemeClr val="accent1">
                      <a:shade val="47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shade val="47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shade val="47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47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shade val="47000"/>
                    <a:shade val="95000"/>
                  </a:schemeClr>
                </a:contourClr>
              </a:sp3d>
            </c:spPr>
          </c:bandFmt>
          <c:bandFmt>
            <c:idx val="1"/>
            <c:spPr>
              <a:gradFill rotWithShape="1">
                <a:gsLst>
                  <a:gs pos="0">
                    <a:schemeClr val="accent1">
                      <a:shade val="65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shade val="65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shade val="65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65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shade val="65000"/>
                    <a:shade val="95000"/>
                  </a:schemeClr>
                </a:contourClr>
              </a:sp3d>
            </c:spPr>
          </c:bandFmt>
          <c:bandFmt>
            <c:idx val="2"/>
            <c:spPr>
              <a:gradFill rotWithShape="1">
                <a:gsLst>
                  <a:gs pos="0">
                    <a:schemeClr val="accent1">
                      <a:shade val="82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shade val="82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shade val="82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82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shade val="82000"/>
                    <a:shade val="95000"/>
                  </a:schemeClr>
                </a:contourClr>
              </a:sp3d>
            </c:spPr>
          </c:bandFmt>
          <c:bandFmt>
            <c:idx val="3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shade val="95000"/>
                  </a:schemeClr>
                </a:contourClr>
              </a:sp3d>
            </c:spPr>
          </c:bandFmt>
          <c:bandFmt>
            <c:idx val="4"/>
            <c:spPr>
              <a:gradFill rotWithShape="1">
                <a:gsLst>
                  <a:gs pos="0">
                    <a:schemeClr val="accent1">
                      <a:tint val="83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83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83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tint val="83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tint val="83000"/>
                    <a:shade val="95000"/>
                  </a:schemeClr>
                </a:contourClr>
              </a:sp3d>
            </c:spPr>
          </c:bandFmt>
          <c:bandFmt>
            <c:idx val="5"/>
            <c:spPr>
              <a:gradFill rotWithShape="1">
                <a:gsLst>
                  <a:gs pos="0">
                    <a:schemeClr val="accent1">
                      <a:tint val="65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65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65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tint val="65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tint val="65000"/>
                    <a:shade val="95000"/>
                  </a:schemeClr>
                </a:contourClr>
              </a:sp3d>
            </c:spPr>
          </c:bandFmt>
          <c:bandFmt>
            <c:idx val="6"/>
            <c:spPr>
              <a:gradFill rotWithShape="1">
                <a:gsLst>
                  <a:gs pos="0">
                    <a:schemeClr val="accent1">
                      <a:tint val="48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48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48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tint val="48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tint val="48000"/>
                    <a:shade val="95000"/>
                  </a:schemeClr>
                </a:contourClr>
              </a:sp3d>
            </c:spPr>
          </c:bandFmt>
          <c:bandFmt>
            <c:idx val="7"/>
            <c:spPr>
              <a:gradFill rotWithShape="1">
                <a:gsLst>
                  <a:gs pos="0">
                    <a:schemeClr val="accent1">
                      <a:tint val="3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3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3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tint val="3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tint val="30000"/>
                    <a:shade val="95000"/>
                  </a:schemeClr>
                </a:contourClr>
              </a:sp3d>
            </c:spPr>
          </c:bandFmt>
          <c:bandFmt>
            <c:idx val="8"/>
            <c:spPr>
              <a:gradFill rotWithShape="1">
                <a:gsLst>
                  <a:gs pos="0">
                    <a:schemeClr val="accent1">
                      <a:tint val="13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13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13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tint val="13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tint val="13000"/>
                    <a:shade val="95000"/>
                  </a:schemeClr>
                </a:contourClr>
              </a:sp3d>
            </c:spPr>
          </c:bandFmt>
          <c:bandFmt>
            <c:idx val="9"/>
            <c:spPr>
              <a:gradFill rotWithShape="1">
                <a:gsLst>
                  <a:gs pos="0">
                    <a:schemeClr val="accent1">
                      <a:tint val="95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95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95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tint val="95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tint val="95000"/>
                    <a:shade val="95000"/>
                  </a:schemeClr>
                </a:contourClr>
              </a:sp3d>
            </c:spPr>
          </c:bandFmt>
          <c:bandFmt>
            <c:idx val="10"/>
            <c:spPr>
              <a:gradFill rotWithShape="1">
                <a:gsLst>
                  <a:gs pos="0">
                    <a:schemeClr val="accent1">
                      <a:tint val="78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78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78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tint val="78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tint val="78000"/>
                    <a:shade val="95000"/>
                  </a:schemeClr>
                </a:contourClr>
              </a:sp3d>
            </c:spPr>
          </c:bandFmt>
          <c:bandFmt>
            <c:idx val="11"/>
            <c:spPr>
              <a:gradFill rotWithShape="1">
                <a:gsLst>
                  <a:gs pos="0">
                    <a:schemeClr val="accent1">
                      <a:tint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tint val="6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tint val="60000"/>
                    <a:shade val="95000"/>
                  </a:schemeClr>
                </a:contourClr>
              </a:sp3d>
            </c:spPr>
          </c:bandFmt>
          <c:bandFmt>
            <c:idx val="12"/>
            <c:spPr>
              <a:gradFill rotWithShape="1">
                <a:gsLst>
                  <a:gs pos="0">
                    <a:schemeClr val="accent1">
                      <a:tint val="43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43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43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tint val="43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tint val="43000"/>
                    <a:shade val="95000"/>
                  </a:schemeClr>
                </a:contourClr>
              </a:sp3d>
            </c:spPr>
          </c:bandFmt>
          <c:bandFmt>
            <c:idx val="13"/>
            <c:spPr>
              <a:gradFill rotWithShape="1">
                <a:gsLst>
                  <a:gs pos="0">
                    <a:schemeClr val="accent1">
                      <a:tint val="25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25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25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tint val="25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tint val="25000"/>
                    <a:shade val="95000"/>
                  </a:schemeClr>
                </a:contourClr>
              </a:sp3d>
            </c:spPr>
          </c:bandFmt>
          <c:bandFmt>
            <c:idx val="14"/>
            <c:spPr>
              <a:gradFill rotWithShape="1">
                <a:gsLst>
                  <a:gs pos="0">
                    <a:schemeClr val="accent1">
                      <a:tint val="8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8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8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tint val="8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tint val="8000"/>
                    <a:shade val="95000"/>
                  </a:schemeClr>
                </a:contourClr>
              </a:sp3d>
            </c:spPr>
          </c:bandFmt>
        </c:bandFmts>
        <c:axId val="618006960"/>
        <c:axId val="618015816"/>
        <c:axId val="469793864"/>
      </c:surface3DChart>
      <c:catAx>
        <c:axId val="61800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015816"/>
        <c:crosses val="autoZero"/>
        <c:auto val="1"/>
        <c:lblAlgn val="ctr"/>
        <c:lblOffset val="500"/>
        <c:tickLblSkip val="2"/>
        <c:tickMarkSkip val="2"/>
        <c:noMultiLvlLbl val="0"/>
      </c:catAx>
      <c:valAx>
        <c:axId val="61801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006960"/>
        <c:crosses val="autoZero"/>
        <c:crossBetween val="midCat"/>
      </c:valAx>
      <c:serAx>
        <c:axId val="469793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015816"/>
        <c:crosses val="autoZero"/>
        <c:tickLblSkip val="2"/>
        <c:tickMarkSkip val="2"/>
      </c:ser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2.9466492395137385E-2"/>
          <c:y val="0.10472760978374525"/>
          <c:w val="0.18292100315995435"/>
          <c:h val="0.4729078088750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45"/>
      <c:hPercent val="100"/>
      <c:rotY val="135"/>
      <c:depthPercent val="100"/>
      <c:rAngAx val="0"/>
      <c:perspective val="9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105269458938302"/>
          <c:y val="2.1074406507189409E-2"/>
          <c:w val="0.72649564519126508"/>
          <c:h val="1"/>
        </c:manualLayout>
      </c:layout>
      <c:surface3DChart>
        <c:wireframe val="0"/>
        <c:ser>
          <c:idx val="0"/>
          <c:order val="0"/>
          <c:tx>
            <c:strRef>
              <c:f>'2k3'!$M$164</c:f>
              <c:strCache>
                <c:ptCount val="1"/>
                <c:pt idx="0">
                  <c:v>3.50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44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44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44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44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44000"/>
                  <a:shade val="95000"/>
                </a:schemeClr>
              </a:contourClr>
            </a:sp3d>
          </c:spPr>
          <c:cat>
            <c:numRef>
              <c:f>'2k3'!$O$139:$W$139</c:f>
              <c:numCache>
                <c:formatCode>0.00</c:formatCode>
                <c:ptCount val="9"/>
                <c:pt idx="0">
                  <c:v>40</c:v>
                </c:pt>
                <c:pt idx="1">
                  <c:v>42.5</c:v>
                </c:pt>
                <c:pt idx="2">
                  <c:v>45</c:v>
                </c:pt>
                <c:pt idx="3">
                  <c:v>47.5</c:v>
                </c:pt>
                <c:pt idx="4">
                  <c:v>50</c:v>
                </c:pt>
                <c:pt idx="5">
                  <c:v>52.5</c:v>
                </c:pt>
                <c:pt idx="6">
                  <c:v>55</c:v>
                </c:pt>
                <c:pt idx="7">
                  <c:v>57.5</c:v>
                </c:pt>
                <c:pt idx="8">
                  <c:v>60</c:v>
                </c:pt>
              </c:numCache>
            </c:numRef>
          </c:cat>
          <c:val>
            <c:numRef>
              <c:f>'2k3'!$O$164:$W$164</c:f>
              <c:numCache>
                <c:formatCode>0.00</c:formatCode>
                <c:ptCount val="9"/>
                <c:pt idx="0">
                  <c:v>8.0000450000000001</c:v>
                </c:pt>
                <c:pt idx="1">
                  <c:v>8.3125413187500001</c:v>
                </c:pt>
                <c:pt idx="2">
                  <c:v>8.625037637500002</c:v>
                </c:pt>
                <c:pt idx="3">
                  <c:v>8.937533956250002</c:v>
                </c:pt>
                <c:pt idx="4">
                  <c:v>9.2500302750000003</c:v>
                </c:pt>
                <c:pt idx="5">
                  <c:v>9.5625265937500021</c:v>
                </c:pt>
                <c:pt idx="6">
                  <c:v>9.8750229124999986</c:v>
                </c:pt>
                <c:pt idx="7">
                  <c:v>10.18751923125</c:v>
                </c:pt>
                <c:pt idx="8">
                  <c:v>10.500015550000004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6-4712-8C0A-3906E838B275}"/>
            </c:ext>
          </c:extLst>
        </c:ser>
        <c:ser>
          <c:idx val="1"/>
          <c:order val="1"/>
          <c:tx>
            <c:strRef>
              <c:f>'2k3'!$M$165</c:f>
              <c:strCache>
                <c:ptCount val="1"/>
                <c:pt idx="0">
                  <c:v>3.94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8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58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58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58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58000"/>
                  <a:shade val="95000"/>
                </a:schemeClr>
              </a:contourClr>
            </a:sp3d>
          </c:spPr>
          <c:cat>
            <c:numRef>
              <c:f>'2k3'!$O$139:$W$139</c:f>
              <c:numCache>
                <c:formatCode>0.00</c:formatCode>
                <c:ptCount val="9"/>
                <c:pt idx="0">
                  <c:v>40</c:v>
                </c:pt>
                <c:pt idx="1">
                  <c:v>42.5</c:v>
                </c:pt>
                <c:pt idx="2">
                  <c:v>45</c:v>
                </c:pt>
                <c:pt idx="3">
                  <c:v>47.5</c:v>
                </c:pt>
                <c:pt idx="4">
                  <c:v>50</c:v>
                </c:pt>
                <c:pt idx="5">
                  <c:v>52.5</c:v>
                </c:pt>
                <c:pt idx="6">
                  <c:v>55</c:v>
                </c:pt>
                <c:pt idx="7">
                  <c:v>57.5</c:v>
                </c:pt>
                <c:pt idx="8">
                  <c:v>60</c:v>
                </c:pt>
              </c:numCache>
            </c:numRef>
          </c:cat>
          <c:val>
            <c:numRef>
              <c:f>'2k3'!$O$165:$W$165</c:f>
              <c:numCache>
                <c:formatCode>0.00</c:formatCode>
                <c:ptCount val="9"/>
                <c:pt idx="0">
                  <c:v>8.2500412499999989</c:v>
                </c:pt>
                <c:pt idx="1">
                  <c:v>8.5078542007812494</c:v>
                </c:pt>
                <c:pt idx="2">
                  <c:v>8.7656671515625</c:v>
                </c:pt>
                <c:pt idx="3">
                  <c:v>9.0234801023437488</c:v>
                </c:pt>
                <c:pt idx="4">
                  <c:v>9.2812930531249993</c:v>
                </c:pt>
                <c:pt idx="5">
                  <c:v>9.5391060039062499</c:v>
                </c:pt>
                <c:pt idx="6">
                  <c:v>9.7969189546874986</c:v>
                </c:pt>
                <c:pt idx="7">
                  <c:v>10.054731905468749</c:v>
                </c:pt>
                <c:pt idx="8">
                  <c:v>10.31254485625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F6-4712-8C0A-3906E838B275}"/>
            </c:ext>
          </c:extLst>
        </c:ser>
        <c:ser>
          <c:idx val="2"/>
          <c:order val="2"/>
          <c:tx>
            <c:strRef>
              <c:f>'2k3'!$M$166</c:f>
              <c:strCache>
                <c:ptCount val="1"/>
                <c:pt idx="0">
                  <c:v>4.38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72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2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2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72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72000"/>
                  <a:shade val="95000"/>
                </a:schemeClr>
              </a:contourClr>
            </a:sp3d>
          </c:spPr>
          <c:cat>
            <c:numRef>
              <c:f>'2k3'!$O$139:$W$139</c:f>
              <c:numCache>
                <c:formatCode>0.00</c:formatCode>
                <c:ptCount val="9"/>
                <c:pt idx="0">
                  <c:v>40</c:v>
                </c:pt>
                <c:pt idx="1">
                  <c:v>42.5</c:v>
                </c:pt>
                <c:pt idx="2">
                  <c:v>45</c:v>
                </c:pt>
                <c:pt idx="3">
                  <c:v>47.5</c:v>
                </c:pt>
                <c:pt idx="4">
                  <c:v>50</c:v>
                </c:pt>
                <c:pt idx="5">
                  <c:v>52.5</c:v>
                </c:pt>
                <c:pt idx="6">
                  <c:v>55</c:v>
                </c:pt>
                <c:pt idx="7">
                  <c:v>57.5</c:v>
                </c:pt>
                <c:pt idx="8">
                  <c:v>60</c:v>
                </c:pt>
              </c:numCache>
            </c:numRef>
          </c:cat>
          <c:val>
            <c:numRef>
              <c:f>'2k3'!$O$166:$W$166</c:f>
              <c:numCache>
                <c:formatCode>0.00</c:formatCode>
                <c:ptCount val="9"/>
                <c:pt idx="0">
                  <c:v>8.5000374999999995</c:v>
                </c:pt>
                <c:pt idx="1">
                  <c:v>8.7031670828125005</c:v>
                </c:pt>
                <c:pt idx="2">
                  <c:v>8.9062966656249998</c:v>
                </c:pt>
                <c:pt idx="3">
                  <c:v>9.1094262484375008</c:v>
                </c:pt>
                <c:pt idx="4">
                  <c:v>9.3125558312500001</c:v>
                </c:pt>
                <c:pt idx="5">
                  <c:v>9.5156854140624993</c:v>
                </c:pt>
                <c:pt idx="6">
                  <c:v>9.7188149968750004</c:v>
                </c:pt>
                <c:pt idx="7">
                  <c:v>9.9219445796874997</c:v>
                </c:pt>
                <c:pt idx="8">
                  <c:v>10.125074162500001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F6-4712-8C0A-3906E838B275}"/>
            </c:ext>
          </c:extLst>
        </c:ser>
        <c:ser>
          <c:idx val="3"/>
          <c:order val="3"/>
          <c:tx>
            <c:strRef>
              <c:f>'2k3'!$M$167</c:f>
              <c:strCache>
                <c:ptCount val="1"/>
                <c:pt idx="0">
                  <c:v>4.81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86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86000"/>
                  <a:shade val="95000"/>
                </a:schemeClr>
              </a:contourClr>
            </a:sp3d>
          </c:spPr>
          <c:cat>
            <c:numRef>
              <c:f>'2k3'!$O$139:$W$139</c:f>
              <c:numCache>
                <c:formatCode>0.00</c:formatCode>
                <c:ptCount val="9"/>
                <c:pt idx="0">
                  <c:v>40</c:v>
                </c:pt>
                <c:pt idx="1">
                  <c:v>42.5</c:v>
                </c:pt>
                <c:pt idx="2">
                  <c:v>45</c:v>
                </c:pt>
                <c:pt idx="3">
                  <c:v>47.5</c:v>
                </c:pt>
                <c:pt idx="4">
                  <c:v>50</c:v>
                </c:pt>
                <c:pt idx="5">
                  <c:v>52.5</c:v>
                </c:pt>
                <c:pt idx="6">
                  <c:v>55</c:v>
                </c:pt>
                <c:pt idx="7">
                  <c:v>57.5</c:v>
                </c:pt>
                <c:pt idx="8">
                  <c:v>60</c:v>
                </c:pt>
              </c:numCache>
            </c:numRef>
          </c:cat>
          <c:val>
            <c:numRef>
              <c:f>'2k3'!$O$167:$W$167</c:f>
              <c:numCache>
                <c:formatCode>0.00</c:formatCode>
                <c:ptCount val="9"/>
                <c:pt idx="0">
                  <c:v>8.7500337499999983</c:v>
                </c:pt>
                <c:pt idx="1">
                  <c:v>8.898479964843748</c:v>
                </c:pt>
                <c:pt idx="2">
                  <c:v>9.0469261796875013</c:v>
                </c:pt>
                <c:pt idx="3">
                  <c:v>9.1953723945312493</c:v>
                </c:pt>
                <c:pt idx="4">
                  <c:v>9.3438186093749991</c:v>
                </c:pt>
                <c:pt idx="5">
                  <c:v>9.4922648242187488</c:v>
                </c:pt>
                <c:pt idx="6">
                  <c:v>9.6407110390624968</c:v>
                </c:pt>
                <c:pt idx="7">
                  <c:v>9.7891572539062501</c:v>
                </c:pt>
                <c:pt idx="8">
                  <c:v>9.9376034687499999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F6-4712-8C0A-3906E838B275}"/>
            </c:ext>
          </c:extLst>
        </c:ser>
        <c:ser>
          <c:idx val="4"/>
          <c:order val="4"/>
          <c:tx>
            <c:strRef>
              <c:f>'2k3'!$M$168</c:f>
              <c:strCache>
                <c:ptCount val="1"/>
                <c:pt idx="0">
                  <c:v>5.25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95000"/>
                </a:schemeClr>
              </a:contourClr>
            </a:sp3d>
          </c:spPr>
          <c:cat>
            <c:numRef>
              <c:f>'2k3'!$O$139:$W$139</c:f>
              <c:numCache>
                <c:formatCode>0.00</c:formatCode>
                <c:ptCount val="9"/>
                <c:pt idx="0">
                  <c:v>40</c:v>
                </c:pt>
                <c:pt idx="1">
                  <c:v>42.5</c:v>
                </c:pt>
                <c:pt idx="2">
                  <c:v>45</c:v>
                </c:pt>
                <c:pt idx="3">
                  <c:v>47.5</c:v>
                </c:pt>
                <c:pt idx="4">
                  <c:v>50</c:v>
                </c:pt>
                <c:pt idx="5">
                  <c:v>52.5</c:v>
                </c:pt>
                <c:pt idx="6">
                  <c:v>55</c:v>
                </c:pt>
                <c:pt idx="7">
                  <c:v>57.5</c:v>
                </c:pt>
                <c:pt idx="8">
                  <c:v>60</c:v>
                </c:pt>
              </c:numCache>
            </c:numRef>
          </c:cat>
          <c:val>
            <c:numRef>
              <c:f>'2k3'!$O$168:$W$168</c:f>
              <c:numCache>
                <c:formatCode>0.00</c:formatCode>
                <c:ptCount val="9"/>
                <c:pt idx="0">
                  <c:v>9.0000299999999989</c:v>
                </c:pt>
                <c:pt idx="1">
                  <c:v>9.0937928468749991</c:v>
                </c:pt>
                <c:pt idx="2">
                  <c:v>9.1875556937500011</c:v>
                </c:pt>
                <c:pt idx="3">
                  <c:v>9.2813185406249996</c:v>
                </c:pt>
                <c:pt idx="4">
                  <c:v>9.3750813874999999</c:v>
                </c:pt>
                <c:pt idx="5">
                  <c:v>9.4688442343750001</c:v>
                </c:pt>
                <c:pt idx="6">
                  <c:v>9.5626070812499986</c:v>
                </c:pt>
                <c:pt idx="7">
                  <c:v>9.6563699281250006</c:v>
                </c:pt>
                <c:pt idx="8">
                  <c:v>9.7501327750000009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F6-4712-8C0A-3906E838B275}"/>
            </c:ext>
          </c:extLst>
        </c:ser>
        <c:ser>
          <c:idx val="5"/>
          <c:order val="5"/>
          <c:tx>
            <c:strRef>
              <c:f>'2k3'!$M$169</c:f>
              <c:strCache>
                <c:ptCount val="1"/>
                <c:pt idx="0">
                  <c:v>5.69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86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tint val="86000"/>
                  <a:shade val="95000"/>
                </a:schemeClr>
              </a:contourClr>
            </a:sp3d>
          </c:spPr>
          <c:cat>
            <c:numRef>
              <c:f>'2k3'!$O$139:$W$139</c:f>
              <c:numCache>
                <c:formatCode>0.00</c:formatCode>
                <c:ptCount val="9"/>
                <c:pt idx="0">
                  <c:v>40</c:v>
                </c:pt>
                <c:pt idx="1">
                  <c:v>42.5</c:v>
                </c:pt>
                <c:pt idx="2">
                  <c:v>45</c:v>
                </c:pt>
                <c:pt idx="3">
                  <c:v>47.5</c:v>
                </c:pt>
                <c:pt idx="4">
                  <c:v>50</c:v>
                </c:pt>
                <c:pt idx="5">
                  <c:v>52.5</c:v>
                </c:pt>
                <c:pt idx="6">
                  <c:v>55</c:v>
                </c:pt>
                <c:pt idx="7">
                  <c:v>57.5</c:v>
                </c:pt>
                <c:pt idx="8">
                  <c:v>60</c:v>
                </c:pt>
              </c:numCache>
            </c:numRef>
          </c:cat>
          <c:val>
            <c:numRef>
              <c:f>'2k3'!$O$169:$W$169</c:f>
              <c:numCache>
                <c:formatCode>0.00</c:formatCode>
                <c:ptCount val="9"/>
                <c:pt idx="0">
                  <c:v>9.2500262499999995</c:v>
                </c:pt>
                <c:pt idx="1">
                  <c:v>9.2891057289062502</c:v>
                </c:pt>
                <c:pt idx="2">
                  <c:v>9.3281852078125009</c:v>
                </c:pt>
                <c:pt idx="3">
                  <c:v>9.3672646867187499</c:v>
                </c:pt>
                <c:pt idx="4">
                  <c:v>9.4063441656250006</c:v>
                </c:pt>
                <c:pt idx="5">
                  <c:v>9.4454236445312514</c:v>
                </c:pt>
                <c:pt idx="6">
                  <c:v>9.4845031234375003</c:v>
                </c:pt>
                <c:pt idx="7">
                  <c:v>9.5235826023437511</c:v>
                </c:pt>
                <c:pt idx="8">
                  <c:v>9.5626620812500018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F6-4712-8C0A-3906E838B275}"/>
            </c:ext>
          </c:extLst>
        </c:ser>
        <c:ser>
          <c:idx val="6"/>
          <c:order val="6"/>
          <c:tx>
            <c:strRef>
              <c:f>'2k3'!$M$170</c:f>
              <c:strCache>
                <c:ptCount val="1"/>
                <c:pt idx="0">
                  <c:v>6.13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72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2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2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72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tint val="72000"/>
                  <a:shade val="95000"/>
                </a:schemeClr>
              </a:contourClr>
            </a:sp3d>
          </c:spPr>
          <c:cat>
            <c:numRef>
              <c:f>'2k3'!$O$139:$W$139</c:f>
              <c:numCache>
                <c:formatCode>0.00</c:formatCode>
                <c:ptCount val="9"/>
                <c:pt idx="0">
                  <c:v>40</c:v>
                </c:pt>
                <c:pt idx="1">
                  <c:v>42.5</c:v>
                </c:pt>
                <c:pt idx="2">
                  <c:v>45</c:v>
                </c:pt>
                <c:pt idx="3">
                  <c:v>47.5</c:v>
                </c:pt>
                <c:pt idx="4">
                  <c:v>50</c:v>
                </c:pt>
                <c:pt idx="5">
                  <c:v>52.5</c:v>
                </c:pt>
                <c:pt idx="6">
                  <c:v>55</c:v>
                </c:pt>
                <c:pt idx="7">
                  <c:v>57.5</c:v>
                </c:pt>
                <c:pt idx="8">
                  <c:v>60</c:v>
                </c:pt>
              </c:numCache>
            </c:numRef>
          </c:cat>
          <c:val>
            <c:numRef>
              <c:f>'2k3'!$O$170:$W$170</c:f>
              <c:numCache>
                <c:formatCode>0.00</c:formatCode>
                <c:ptCount val="9"/>
                <c:pt idx="0">
                  <c:v>9.5000224999999983</c:v>
                </c:pt>
                <c:pt idx="1">
                  <c:v>9.4844186109374977</c:v>
                </c:pt>
                <c:pt idx="2">
                  <c:v>9.468814721874999</c:v>
                </c:pt>
                <c:pt idx="3">
                  <c:v>9.4532108328124984</c:v>
                </c:pt>
                <c:pt idx="4">
                  <c:v>9.4376069437499996</c:v>
                </c:pt>
                <c:pt idx="5">
                  <c:v>9.4220030546875009</c:v>
                </c:pt>
                <c:pt idx="6">
                  <c:v>9.4063991656250003</c:v>
                </c:pt>
                <c:pt idx="7">
                  <c:v>9.3907952765625016</c:v>
                </c:pt>
                <c:pt idx="8">
                  <c:v>9.375191387500001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F6-4712-8C0A-3906E838B275}"/>
            </c:ext>
          </c:extLst>
        </c:ser>
        <c:ser>
          <c:idx val="7"/>
          <c:order val="7"/>
          <c:tx>
            <c:strRef>
              <c:f>'2k3'!$M$171</c:f>
              <c:strCache>
                <c:ptCount val="1"/>
                <c:pt idx="0">
                  <c:v>6.56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58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58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58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tint val="58000"/>
                  <a:shade val="95000"/>
                </a:schemeClr>
              </a:contourClr>
            </a:sp3d>
          </c:spPr>
          <c:cat>
            <c:numRef>
              <c:f>'2k3'!$O$139:$W$139</c:f>
              <c:numCache>
                <c:formatCode>0.00</c:formatCode>
                <c:ptCount val="9"/>
                <c:pt idx="0">
                  <c:v>40</c:v>
                </c:pt>
                <c:pt idx="1">
                  <c:v>42.5</c:v>
                </c:pt>
                <c:pt idx="2">
                  <c:v>45</c:v>
                </c:pt>
                <c:pt idx="3">
                  <c:v>47.5</c:v>
                </c:pt>
                <c:pt idx="4">
                  <c:v>50</c:v>
                </c:pt>
                <c:pt idx="5">
                  <c:v>52.5</c:v>
                </c:pt>
                <c:pt idx="6">
                  <c:v>55</c:v>
                </c:pt>
                <c:pt idx="7">
                  <c:v>57.5</c:v>
                </c:pt>
                <c:pt idx="8">
                  <c:v>60</c:v>
                </c:pt>
              </c:numCache>
            </c:numRef>
          </c:cat>
          <c:val>
            <c:numRef>
              <c:f>'2k3'!$O$171:$W$171</c:f>
              <c:numCache>
                <c:formatCode>0.00</c:formatCode>
                <c:ptCount val="9"/>
                <c:pt idx="0">
                  <c:v>9.7500187499999988</c:v>
                </c:pt>
                <c:pt idx="1">
                  <c:v>9.6797314929687488</c:v>
                </c:pt>
                <c:pt idx="2">
                  <c:v>9.6094442359374987</c:v>
                </c:pt>
                <c:pt idx="3">
                  <c:v>9.5391569789062505</c:v>
                </c:pt>
                <c:pt idx="4">
                  <c:v>9.4688697218750004</c:v>
                </c:pt>
                <c:pt idx="5">
                  <c:v>9.3985824648437504</c:v>
                </c:pt>
                <c:pt idx="6">
                  <c:v>9.3282952078125021</c:v>
                </c:pt>
                <c:pt idx="7">
                  <c:v>9.258007950781252</c:v>
                </c:pt>
                <c:pt idx="8">
                  <c:v>9.187720693750002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F6-4712-8C0A-3906E838B275}"/>
            </c:ext>
          </c:extLst>
        </c:ser>
        <c:ser>
          <c:idx val="8"/>
          <c:order val="8"/>
          <c:tx>
            <c:strRef>
              <c:f>'2k3'!$M$172</c:f>
              <c:strCache>
                <c:ptCount val="1"/>
                <c:pt idx="0">
                  <c:v>7.00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44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44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44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44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tint val="44000"/>
                  <a:shade val="95000"/>
                </a:schemeClr>
              </a:contourClr>
            </a:sp3d>
          </c:spPr>
          <c:cat>
            <c:numRef>
              <c:f>'2k3'!$O$139:$W$139</c:f>
              <c:numCache>
                <c:formatCode>0.00</c:formatCode>
                <c:ptCount val="9"/>
                <c:pt idx="0">
                  <c:v>40</c:v>
                </c:pt>
                <c:pt idx="1">
                  <c:v>42.5</c:v>
                </c:pt>
                <c:pt idx="2">
                  <c:v>45</c:v>
                </c:pt>
                <c:pt idx="3">
                  <c:v>47.5</c:v>
                </c:pt>
                <c:pt idx="4">
                  <c:v>50</c:v>
                </c:pt>
                <c:pt idx="5">
                  <c:v>52.5</c:v>
                </c:pt>
                <c:pt idx="6">
                  <c:v>55</c:v>
                </c:pt>
                <c:pt idx="7">
                  <c:v>57.5</c:v>
                </c:pt>
                <c:pt idx="8">
                  <c:v>60</c:v>
                </c:pt>
              </c:numCache>
            </c:numRef>
          </c:cat>
          <c:val>
            <c:numRef>
              <c:f>'2k3'!$O$172:$W$172</c:f>
              <c:numCache>
                <c:formatCode>0.00</c:formatCode>
                <c:ptCount val="9"/>
                <c:pt idx="0">
                  <c:v>10.000014999999998</c:v>
                </c:pt>
                <c:pt idx="1">
                  <c:v>9.8750443749999981</c:v>
                </c:pt>
                <c:pt idx="2">
                  <c:v>9.7500737500000003</c:v>
                </c:pt>
                <c:pt idx="3">
                  <c:v>9.6251031249999972</c:v>
                </c:pt>
                <c:pt idx="4">
                  <c:v>9.5001324999999994</c:v>
                </c:pt>
                <c:pt idx="5">
                  <c:v>9.3751618749999981</c:v>
                </c:pt>
                <c:pt idx="6">
                  <c:v>9.2501912499999985</c:v>
                </c:pt>
                <c:pt idx="7">
                  <c:v>9.1252206250000008</c:v>
                </c:pt>
                <c:pt idx="8">
                  <c:v>9.0002499999999976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F6-4712-8C0A-3906E838B275}"/>
            </c:ext>
          </c:extLst>
        </c:ser>
        <c:bandFmts>
          <c:bandFmt>
            <c:idx val="0"/>
            <c:spPr>
              <a:gradFill rotWithShape="1">
                <a:gsLst>
                  <a:gs pos="0">
                    <a:schemeClr val="accent2">
                      <a:shade val="5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shade val="5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shade val="5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5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shade val="50000"/>
                    <a:shade val="95000"/>
                  </a:schemeClr>
                </a:contourClr>
              </a:sp3d>
            </c:spPr>
          </c:bandFmt>
          <c:bandFmt>
            <c:idx val="1"/>
            <c:spPr>
              <a:gradFill rotWithShape="1">
                <a:gsLst>
                  <a:gs pos="0">
                    <a:schemeClr val="accent2">
                      <a:shade val="7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shade val="7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shade val="7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7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shade val="70000"/>
                    <a:shade val="95000"/>
                  </a:schemeClr>
                </a:contourClr>
              </a:sp3d>
            </c:spPr>
          </c:bandFmt>
          <c:bandFmt>
            <c:idx val="2"/>
            <c:spPr>
              <a:gradFill rotWithShape="1">
                <a:gsLst>
                  <a:gs pos="0">
                    <a:schemeClr val="accent2">
                      <a:shade val="9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shade val="9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shade val="9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shade val="90000"/>
                    <a:shade val="95000"/>
                  </a:schemeClr>
                </a:contourClr>
              </a:sp3d>
            </c:spPr>
          </c:bandFmt>
          <c:bandFmt>
            <c:idx val="3"/>
            <c:spPr>
              <a:gradFill rotWithShape="1">
                <a:gsLst>
                  <a:gs pos="0">
                    <a:schemeClr val="accent2">
                      <a:tint val="9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tint val="9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tint val="9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tint val="9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tint val="90000"/>
                    <a:shade val="95000"/>
                  </a:schemeClr>
                </a:contourClr>
              </a:sp3d>
            </c:spPr>
          </c:bandFmt>
          <c:bandFmt>
            <c:idx val="4"/>
            <c:spPr>
              <a:gradFill rotWithShape="1">
                <a:gsLst>
                  <a:gs pos="0">
                    <a:schemeClr val="accent2">
                      <a:tint val="7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tint val="7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tint val="7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tint val="7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tint val="70000"/>
                    <a:shade val="95000"/>
                  </a:schemeClr>
                </a:contourClr>
              </a:sp3d>
            </c:spPr>
          </c:bandFmt>
          <c:bandFmt>
            <c:idx val="5"/>
            <c:spPr>
              <a:gradFill rotWithShape="1">
                <a:gsLst>
                  <a:gs pos="0">
                    <a:schemeClr val="accent2">
                      <a:tint val="5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tint val="5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tint val="5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tint val="5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tint val="50000"/>
                    <a:shade val="95000"/>
                  </a:schemeClr>
                </a:contourClr>
              </a:sp3d>
            </c:spPr>
          </c:bandFmt>
          <c:bandFmt>
            <c:idx val="6"/>
            <c:spPr>
              <a:gradFill rotWithShape="1">
                <a:gsLst>
                  <a:gs pos="0">
                    <a:schemeClr val="accent2">
                      <a:tint val="3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tint val="3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tint val="3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tint val="3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tint val="30000"/>
                    <a:shade val="95000"/>
                  </a:schemeClr>
                </a:contourClr>
              </a:sp3d>
            </c:spPr>
          </c:bandFmt>
          <c:bandFmt>
            <c:idx val="7"/>
            <c:spPr>
              <a:gradFill rotWithShape="1">
                <a:gsLst>
                  <a:gs pos="0">
                    <a:schemeClr val="accent2">
                      <a:tint val="1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tint val="1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tint val="1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tint val="1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tint val="10000"/>
                    <a:shade val="95000"/>
                  </a:schemeClr>
                </a:contourClr>
              </a:sp3d>
            </c:spPr>
          </c:bandFmt>
          <c:bandFmt>
            <c:idx val="8"/>
            <c:spPr>
              <a:gradFill rotWithShape="1">
                <a:gsLst>
                  <a:gs pos="0">
                    <a:schemeClr val="accent2">
                      <a:tint val="9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tint val="9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tint val="9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tint val="9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tint val="90000"/>
                    <a:shade val="95000"/>
                  </a:schemeClr>
                </a:contourClr>
              </a:sp3d>
            </c:spPr>
          </c:bandFmt>
          <c:bandFmt>
            <c:idx val="9"/>
            <c:spPr>
              <a:gradFill rotWithShape="1">
                <a:gsLst>
                  <a:gs pos="0">
                    <a:schemeClr val="accent2">
                      <a:tint val="7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tint val="7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tint val="7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tint val="7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tint val="70000"/>
                    <a:shade val="95000"/>
                  </a:schemeClr>
                </a:contourClr>
              </a:sp3d>
            </c:spPr>
          </c:bandFmt>
          <c:bandFmt>
            <c:idx val="10"/>
            <c:spPr>
              <a:gradFill rotWithShape="1">
                <a:gsLst>
                  <a:gs pos="0">
                    <a:schemeClr val="accent2">
                      <a:tint val="5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tint val="5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tint val="5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tint val="5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tint val="50000"/>
                    <a:shade val="95000"/>
                  </a:schemeClr>
                </a:contourClr>
              </a:sp3d>
            </c:spPr>
          </c:bandFmt>
          <c:bandFmt>
            <c:idx val="11"/>
            <c:spPr>
              <a:gradFill rotWithShape="1">
                <a:gsLst>
                  <a:gs pos="0">
                    <a:schemeClr val="accent2">
                      <a:tint val="3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tint val="3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tint val="3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tint val="3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tint val="30000"/>
                    <a:shade val="95000"/>
                  </a:schemeClr>
                </a:contourClr>
              </a:sp3d>
            </c:spPr>
          </c:bandFmt>
          <c:bandFmt>
            <c:idx val="12"/>
            <c:spPr>
              <a:gradFill rotWithShape="1">
                <a:gsLst>
                  <a:gs pos="0">
                    <a:schemeClr val="accent2">
                      <a:tint val="1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tint val="1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tint val="1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tint val="1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tint val="10000"/>
                    <a:shade val="95000"/>
                  </a:schemeClr>
                </a:contourClr>
              </a:sp3d>
            </c:spPr>
          </c:bandFmt>
          <c:bandFmt>
            <c:idx val="13"/>
            <c:spPr>
              <a:gradFill rotWithShape="1">
                <a:gsLst>
                  <a:gs pos="0">
                    <a:schemeClr val="accent2">
                      <a:tint val="9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tint val="9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tint val="9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tint val="9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tint val="90000"/>
                    <a:shade val="95000"/>
                  </a:schemeClr>
                </a:contourClr>
              </a:sp3d>
            </c:spPr>
          </c:bandFmt>
          <c:bandFmt>
            <c:idx val="14"/>
            <c:spPr>
              <a:gradFill rotWithShape="1">
                <a:gsLst>
                  <a:gs pos="0">
                    <a:schemeClr val="accent2">
                      <a:tint val="7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tint val="7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tint val="7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tint val="7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tint val="70000"/>
                    <a:shade val="95000"/>
                  </a:schemeClr>
                </a:contourClr>
              </a:sp3d>
            </c:spPr>
          </c:bandFmt>
        </c:bandFmts>
        <c:axId val="618006960"/>
        <c:axId val="618015816"/>
        <c:axId val="469793864"/>
      </c:surface3DChart>
      <c:catAx>
        <c:axId val="61800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015816"/>
        <c:crosses val="autoZero"/>
        <c:auto val="1"/>
        <c:lblAlgn val="ctr"/>
        <c:lblOffset val="500"/>
        <c:tickLblSkip val="2"/>
        <c:tickMarkSkip val="2"/>
        <c:noMultiLvlLbl val="0"/>
      </c:catAx>
      <c:valAx>
        <c:axId val="6180158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006960"/>
        <c:crosses val="autoZero"/>
        <c:crossBetween val="midCat"/>
      </c:valAx>
      <c:serAx>
        <c:axId val="469793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015816"/>
        <c:crosses val="autoZero"/>
        <c:tickLblSkip val="2"/>
        <c:tickMarkSkip val="2"/>
      </c:ser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1019598811727521E-2"/>
          <c:y val="5.059636625725198E-2"/>
          <c:w val="0.1436066021987821"/>
          <c:h val="0.755052656970689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'2k2'!$J$79:$J$90</c:f>
              <c:numCache>
                <c:formatCode>0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6</c:v>
                </c:pt>
                <c:pt idx="3">
                  <c:v>11</c:v>
                </c:pt>
                <c:pt idx="4">
                  <c:v>1</c:v>
                </c:pt>
                <c:pt idx="5">
                  <c:v>3</c:v>
                </c:pt>
                <c:pt idx="6">
                  <c:v>9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7</c:v>
                </c:pt>
              </c:numCache>
            </c:numRef>
          </c:xVal>
          <c:yVal>
            <c:numRef>
              <c:f>'2k2'!$L$79:$L$90</c:f>
              <c:numCache>
                <c:formatCode>0.000</c:formatCode>
                <c:ptCount val="12"/>
                <c:pt idx="0">
                  <c:v>-3.3937499999999972</c:v>
                </c:pt>
                <c:pt idx="1">
                  <c:v>-2.6187499999999968</c:v>
                </c:pt>
                <c:pt idx="2">
                  <c:v>-1.1187499999999968</c:v>
                </c:pt>
                <c:pt idx="3">
                  <c:v>-1.0437499999999957</c:v>
                </c:pt>
                <c:pt idx="4">
                  <c:v>-0.94374999999999432</c:v>
                </c:pt>
                <c:pt idx="5">
                  <c:v>-0.14374999999999716</c:v>
                </c:pt>
                <c:pt idx="6">
                  <c:v>0.15625000000000355</c:v>
                </c:pt>
                <c:pt idx="7">
                  <c:v>0.20625000000000426</c:v>
                </c:pt>
                <c:pt idx="8">
                  <c:v>0.55625000000000568</c:v>
                </c:pt>
                <c:pt idx="9">
                  <c:v>0.7562500000000032</c:v>
                </c:pt>
                <c:pt idx="10">
                  <c:v>3.3812500000000014</c:v>
                </c:pt>
                <c:pt idx="11">
                  <c:v>4.2062500000000043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45-4CFB-A90B-307BB90A2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30224"/>
        <c:axId val="533226288"/>
      </c:scatterChart>
      <c:valAx>
        <c:axId val="533230224"/>
        <c:scaling>
          <c:orientation val="minMax"/>
          <c:max val="11"/>
        </c:scaling>
        <c:delete val="0"/>
        <c:axPos val="b"/>
        <c:numFmt formatCode="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226288"/>
        <c:crosses val="autoZero"/>
        <c:crossBetween val="midCat"/>
      </c:valAx>
      <c:valAx>
        <c:axId val="533226288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230224"/>
        <c:crosses val="autoZero"/>
        <c:crossBetween val="midCat"/>
      </c:valAx>
      <c:spPr>
        <a:noFill/>
        <a:ln>
          <a:solidFill>
            <a:schemeClr val="accent3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'2k2'!$A$79:$A$90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xVal>
          <c:yVal>
            <c:numRef>
              <c:f>'2k2'!$K$79:$K$90</c:f>
              <c:numCache>
                <c:formatCode>0.000</c:formatCode>
                <c:ptCount val="12"/>
                <c:pt idx="0">
                  <c:v>3.3812500000000014</c:v>
                </c:pt>
                <c:pt idx="1">
                  <c:v>0.55625000000000568</c:v>
                </c:pt>
                <c:pt idx="2">
                  <c:v>0.15625000000000355</c:v>
                </c:pt>
                <c:pt idx="3">
                  <c:v>4.2062500000000043</c:v>
                </c:pt>
                <c:pt idx="4">
                  <c:v>-2.6187499999999968</c:v>
                </c:pt>
                <c:pt idx="5">
                  <c:v>-1.0437499999999957</c:v>
                </c:pt>
                <c:pt idx="6">
                  <c:v>0.7562500000000032</c:v>
                </c:pt>
                <c:pt idx="7">
                  <c:v>-3.3937499999999972</c:v>
                </c:pt>
                <c:pt idx="8">
                  <c:v>-1.1187499999999968</c:v>
                </c:pt>
                <c:pt idx="9">
                  <c:v>-0.94374999999999432</c:v>
                </c:pt>
                <c:pt idx="10">
                  <c:v>-0.14374999999999716</c:v>
                </c:pt>
                <c:pt idx="11">
                  <c:v>0.20625000000000426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3F-4F42-BC90-12EA45315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30224"/>
        <c:axId val="533226288"/>
      </c:scatterChart>
      <c:valAx>
        <c:axId val="533230224"/>
        <c:scaling>
          <c:orientation val="minMax"/>
          <c:max val="11"/>
        </c:scaling>
        <c:delete val="0"/>
        <c:axPos val="b"/>
        <c:numFmt formatCode="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226288"/>
        <c:crosses val="autoZero"/>
        <c:crossBetween val="midCat"/>
      </c:valAx>
      <c:valAx>
        <c:axId val="533226288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230224"/>
        <c:crosses val="autoZero"/>
        <c:crossBetween val="midCat"/>
      </c:valAx>
      <c:spPr>
        <a:noFill/>
        <a:ln>
          <a:solidFill>
            <a:schemeClr val="accent3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45381412044802227"/>
                  <c:y val="-4.25542392484168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'2k2'!$E$79:$E$90</c:f>
              <c:numCache>
                <c:formatCode>0.000</c:formatCode>
                <c:ptCount val="12"/>
                <c:pt idx="0">
                  <c:v>-1.7316643961222451</c:v>
                </c:pt>
                <c:pt idx="1">
                  <c:v>-1.1503493803760083</c:v>
                </c:pt>
                <c:pt idx="2">
                  <c:v>-0.81221780149991241</c:v>
                </c:pt>
                <c:pt idx="3">
                  <c:v>-0.54852228269809788</c:v>
                </c:pt>
                <c:pt idx="4">
                  <c:v>-0.3186393639643752</c:v>
                </c:pt>
                <c:pt idx="5">
                  <c:v>-0.10463345561407539</c:v>
                </c:pt>
                <c:pt idx="6">
                  <c:v>0.10463345561407525</c:v>
                </c:pt>
                <c:pt idx="7">
                  <c:v>0.3186393639643752</c:v>
                </c:pt>
                <c:pt idx="8">
                  <c:v>0.54852228269809822</c:v>
                </c:pt>
                <c:pt idx="9">
                  <c:v>0.81221780149991241</c:v>
                </c:pt>
                <c:pt idx="10">
                  <c:v>1.1503493803760083</c:v>
                </c:pt>
                <c:pt idx="11">
                  <c:v>1.7316643961222455</c:v>
                </c:pt>
              </c:numCache>
            </c:numRef>
          </c:xVal>
          <c:yVal>
            <c:numRef>
              <c:f>'2k2'!$L$79:$L$90</c:f>
              <c:numCache>
                <c:formatCode>0.000</c:formatCode>
                <c:ptCount val="12"/>
                <c:pt idx="0">
                  <c:v>-3.3937499999999972</c:v>
                </c:pt>
                <c:pt idx="1">
                  <c:v>-2.6187499999999968</c:v>
                </c:pt>
                <c:pt idx="2">
                  <c:v>-1.1187499999999968</c:v>
                </c:pt>
                <c:pt idx="3">
                  <c:v>-1.0437499999999957</c:v>
                </c:pt>
                <c:pt idx="4">
                  <c:v>-0.94374999999999432</c:v>
                </c:pt>
                <c:pt idx="5">
                  <c:v>-0.14374999999999716</c:v>
                </c:pt>
                <c:pt idx="6">
                  <c:v>0.15625000000000355</c:v>
                </c:pt>
                <c:pt idx="7">
                  <c:v>0.20625000000000426</c:v>
                </c:pt>
                <c:pt idx="8">
                  <c:v>0.55625000000000568</c:v>
                </c:pt>
                <c:pt idx="9">
                  <c:v>0.7562500000000032</c:v>
                </c:pt>
                <c:pt idx="10">
                  <c:v>3.3812500000000014</c:v>
                </c:pt>
                <c:pt idx="11">
                  <c:v>4.2062500000000043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7F-46C6-A31C-E7DDF2108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30224"/>
        <c:axId val="533226288"/>
      </c:scatterChart>
      <c:valAx>
        <c:axId val="533230224"/>
        <c:scaling>
          <c:orientation val="minMax"/>
          <c:max val="2"/>
          <c:min val="-2"/>
        </c:scaling>
        <c:delete val="0"/>
        <c:axPos val="b"/>
        <c:numFmt formatCode="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226288"/>
        <c:crosses val="autoZero"/>
        <c:crossBetween val="midCat"/>
      </c:valAx>
      <c:valAx>
        <c:axId val="533226288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230224"/>
        <c:crosses val="autoZero"/>
        <c:crossBetween val="midCat"/>
      </c:valAx>
      <c:spPr>
        <a:noFill/>
        <a:ln>
          <a:solidFill>
            <a:schemeClr val="accent3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Normal</a:t>
            </a:r>
            <a:r>
              <a:rPr lang="en-US" sz="1100" b="1" baseline="0"/>
              <a:t> Probability Plot</a:t>
            </a:r>
            <a:endParaRPr lang="en-US" sz="1100" b="1"/>
          </a:p>
        </c:rich>
      </c:tx>
      <c:layout>
        <c:manualLayout>
          <c:xMode val="edge"/>
          <c:yMode val="edge"/>
          <c:x val="0.30478760976407693"/>
          <c:y val="1.01426915445256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00237540139883"/>
          <c:y val="0.13716811714325183"/>
          <c:w val="0.79162275106673119"/>
          <c:h val="0.6988054023611420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4.0133139782108244E-2"/>
                  <c:y val="0.5753824901441975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'2k3'!$V$10:$V$25</c:f>
              <c:numCache>
                <c:formatCode>0.000</c:formatCode>
                <c:ptCount val="16"/>
                <c:pt idx="0">
                  <c:v>-1.8627318674216511</c:v>
                </c:pt>
                <c:pt idx="1">
                  <c:v>-1.3180108973035372</c:v>
                </c:pt>
                <c:pt idx="2">
                  <c:v>-1.0099901692495805</c:v>
                </c:pt>
                <c:pt idx="3">
                  <c:v>-0.77642176114792794</c:v>
                </c:pt>
                <c:pt idx="4">
                  <c:v>-0.57913216225555586</c:v>
                </c:pt>
                <c:pt idx="5">
                  <c:v>-0.40225006532172536</c:v>
                </c:pt>
                <c:pt idx="6">
                  <c:v>-0.23720210932878771</c:v>
                </c:pt>
                <c:pt idx="7">
                  <c:v>-7.8412412733112211E-2</c:v>
                </c:pt>
                <c:pt idx="8">
                  <c:v>7.8412412733112211E-2</c:v>
                </c:pt>
                <c:pt idx="9">
                  <c:v>0.23720210932878771</c:v>
                </c:pt>
                <c:pt idx="10">
                  <c:v>0.40225006532172536</c:v>
                </c:pt>
                <c:pt idx="11">
                  <c:v>0.57913216225555586</c:v>
                </c:pt>
                <c:pt idx="12">
                  <c:v>0.77642176114792794</c:v>
                </c:pt>
                <c:pt idx="13">
                  <c:v>1.0099901692495805</c:v>
                </c:pt>
                <c:pt idx="14">
                  <c:v>1.3180108973035372</c:v>
                </c:pt>
                <c:pt idx="15">
                  <c:v>1.8627318674216511</c:v>
                </c:pt>
              </c:numCache>
            </c:numRef>
          </c:xVal>
          <c:yVal>
            <c:numRef>
              <c:f>'2k3'!$Y$10:$Y$25</c:f>
              <c:numCache>
                <c:formatCode>0.00</c:formatCode>
                <c:ptCount val="16"/>
                <c:pt idx="0">
                  <c:v>7.0000799999999996</c:v>
                </c:pt>
                <c:pt idx="1">
                  <c:v>8.0005000000000006</c:v>
                </c:pt>
                <c:pt idx="2">
                  <c:v>9.0000099999999996</c:v>
                </c:pt>
                <c:pt idx="3">
                  <c:v>9.0000199999999992</c:v>
                </c:pt>
                <c:pt idx="4">
                  <c:v>10</c:v>
                </c:pt>
                <c:pt idx="5">
                  <c:v>10.0000011</c:v>
                </c:pt>
                <c:pt idx="6">
                  <c:v>10.00001</c:v>
                </c:pt>
                <c:pt idx="7">
                  <c:v>10.00006</c:v>
                </c:pt>
                <c:pt idx="8">
                  <c:v>11.00001</c:v>
                </c:pt>
                <c:pt idx="9">
                  <c:v>11.000030000000001</c:v>
                </c:pt>
                <c:pt idx="10">
                  <c:v>12.00004</c:v>
                </c:pt>
                <c:pt idx="11">
                  <c:v>12.00009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16.000070000000001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1C-4E62-B031-3579945D4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7470936"/>
        <c:axId val="527473888"/>
      </c:scatterChart>
      <c:valAx>
        <c:axId val="527470936"/>
        <c:scaling>
          <c:orientation val="minMax"/>
          <c:max val="2"/>
          <c:min val="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Z-Score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473888"/>
        <c:crosses val="autoZero"/>
        <c:crossBetween val="midCat"/>
      </c:valAx>
      <c:valAx>
        <c:axId val="52747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Response</a:t>
                </a:r>
                <a:r>
                  <a:rPr lang="en-US" b="1" baseline="0"/>
                  <a:t> Value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470936"/>
        <c:crosses val="autoZero"/>
        <c:crossBetween val="midCat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'2k3'!$J$87:$J$102</c:f>
              <c:numCache>
                <c:formatCode>0.000</c:formatCode>
                <c:ptCount val="16"/>
                <c:pt idx="0">
                  <c:v>8.0000450000000001</c:v>
                </c:pt>
                <c:pt idx="1">
                  <c:v>11.000050000000002</c:v>
                </c:pt>
                <c:pt idx="2">
                  <c:v>10.000014999999998</c:v>
                </c:pt>
                <c:pt idx="3">
                  <c:v>10.500015550000004</c:v>
                </c:pt>
                <c:pt idx="4">
                  <c:v>13.500019999999999</c:v>
                </c:pt>
                <c:pt idx="5">
                  <c:v>9.0002499999999976</c:v>
                </c:pt>
                <c:pt idx="6">
                  <c:v>11.500029999999999</c:v>
                </c:pt>
                <c:pt idx="7">
                  <c:v>15.000035</c:v>
                </c:pt>
                <c:pt idx="8">
                  <c:v>8.0000450000000001</c:v>
                </c:pt>
                <c:pt idx="9">
                  <c:v>11.000050000000002</c:v>
                </c:pt>
                <c:pt idx="10">
                  <c:v>10.000014999999998</c:v>
                </c:pt>
                <c:pt idx="11">
                  <c:v>10.500015550000004</c:v>
                </c:pt>
                <c:pt idx="12">
                  <c:v>13.500019999999999</c:v>
                </c:pt>
                <c:pt idx="13">
                  <c:v>9.0002499999999976</c:v>
                </c:pt>
                <c:pt idx="14">
                  <c:v>11.500029999999999</c:v>
                </c:pt>
                <c:pt idx="15">
                  <c:v>15.000035</c:v>
                </c:pt>
              </c:numCache>
            </c:numRef>
          </c:xVal>
          <c:yVal>
            <c:numRef>
              <c:f>'2k3'!$L$87:$L$102</c:f>
              <c:numCache>
                <c:formatCode>0.000</c:formatCode>
                <c:ptCount val="16"/>
                <c:pt idx="0">
                  <c:v>0.99996499999999955</c:v>
                </c:pt>
                <c:pt idx="1">
                  <c:v>-1.000040000000002</c:v>
                </c:pt>
                <c:pt idx="2">
                  <c:v>-0.99999499999999841</c:v>
                </c:pt>
                <c:pt idx="3">
                  <c:v>0.50001444999999656</c:v>
                </c:pt>
                <c:pt idx="4">
                  <c:v>-1.499979999999999</c:v>
                </c:pt>
                <c:pt idx="5">
                  <c:v>-0.99974999999999703</c:v>
                </c:pt>
                <c:pt idx="6">
                  <c:v>-1.4999699999999994</c:v>
                </c:pt>
                <c:pt idx="7">
                  <c:v>1.0000350000000005</c:v>
                </c:pt>
                <c:pt idx="8">
                  <c:v>-0.99996500000000044</c:v>
                </c:pt>
                <c:pt idx="9">
                  <c:v>1.0000399999999985</c:v>
                </c:pt>
                <c:pt idx="10">
                  <c:v>0.99999500000000197</c:v>
                </c:pt>
                <c:pt idx="11">
                  <c:v>-0.50001445000000366</c:v>
                </c:pt>
                <c:pt idx="12">
                  <c:v>1.4999800000000008</c:v>
                </c:pt>
                <c:pt idx="13">
                  <c:v>0.99975000000000236</c:v>
                </c:pt>
                <c:pt idx="14">
                  <c:v>1.4999700000000011</c:v>
                </c:pt>
                <c:pt idx="15">
                  <c:v>-1.0000350000000005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25-496E-A7FF-9EC46F7FE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30224"/>
        <c:axId val="533226288"/>
      </c:scatterChart>
      <c:valAx>
        <c:axId val="5332302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226288"/>
        <c:crosses val="autoZero"/>
        <c:crossBetween val="midCat"/>
      </c:valAx>
      <c:valAx>
        <c:axId val="533226288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230224"/>
        <c:crosses val="autoZero"/>
        <c:crossBetween val="midCat"/>
      </c:valAx>
      <c:spPr>
        <a:noFill/>
        <a:ln>
          <a:solidFill>
            <a:schemeClr val="accent3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'2k3'!$A$87:$A$102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'2k3'!$L$87:$L$102</c:f>
              <c:numCache>
                <c:formatCode>0.000</c:formatCode>
                <c:ptCount val="16"/>
                <c:pt idx="0">
                  <c:v>0.99996499999999955</c:v>
                </c:pt>
                <c:pt idx="1">
                  <c:v>-1.000040000000002</c:v>
                </c:pt>
                <c:pt idx="2">
                  <c:v>-0.99999499999999841</c:v>
                </c:pt>
                <c:pt idx="3">
                  <c:v>0.50001444999999656</c:v>
                </c:pt>
                <c:pt idx="4">
                  <c:v>-1.499979999999999</c:v>
                </c:pt>
                <c:pt idx="5">
                  <c:v>-0.99974999999999703</c:v>
                </c:pt>
                <c:pt idx="6">
                  <c:v>-1.4999699999999994</c:v>
                </c:pt>
                <c:pt idx="7">
                  <c:v>1.0000350000000005</c:v>
                </c:pt>
                <c:pt idx="8">
                  <c:v>-0.99996500000000044</c:v>
                </c:pt>
                <c:pt idx="9">
                  <c:v>1.0000399999999985</c:v>
                </c:pt>
                <c:pt idx="10">
                  <c:v>0.99999500000000197</c:v>
                </c:pt>
                <c:pt idx="11">
                  <c:v>-0.50001445000000366</c:v>
                </c:pt>
                <c:pt idx="12">
                  <c:v>1.4999800000000008</c:v>
                </c:pt>
                <c:pt idx="13">
                  <c:v>0.99975000000000236</c:v>
                </c:pt>
                <c:pt idx="14">
                  <c:v>1.4999700000000011</c:v>
                </c:pt>
                <c:pt idx="15">
                  <c:v>-1.0000350000000005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D4-4A62-B23E-A0602641E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30224"/>
        <c:axId val="533226288"/>
      </c:scatterChart>
      <c:valAx>
        <c:axId val="533230224"/>
        <c:scaling>
          <c:orientation val="minMax"/>
          <c:max val="15"/>
        </c:scaling>
        <c:delete val="0"/>
        <c:axPos val="b"/>
        <c:numFmt formatCode="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226288"/>
        <c:crosses val="autoZero"/>
        <c:crossBetween val="midCat"/>
      </c:valAx>
      <c:valAx>
        <c:axId val="533226288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230224"/>
        <c:crosses val="autoZero"/>
        <c:crossBetween val="midCat"/>
      </c:valAx>
      <c:spPr>
        <a:noFill/>
        <a:ln>
          <a:solidFill>
            <a:schemeClr val="accent3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view3D>
      <c:rotX val="45"/>
      <c:hPercent val="100"/>
      <c:rotY val="45"/>
      <c:depthPercent val="100"/>
      <c:rAngAx val="0"/>
      <c:perspective val="9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692038495188102E-2"/>
          <c:y val="0"/>
          <c:w val="0.7563206930775892"/>
          <c:h val="1"/>
        </c:manualLayout>
      </c:layout>
      <c:surface3DChart>
        <c:wireframe val="0"/>
        <c:ser>
          <c:idx val="0"/>
          <c:order val="0"/>
          <c:tx>
            <c:strRef>
              <c:f>'2k3'!$M$117</c:f>
              <c:strCache>
                <c:ptCount val="1"/>
                <c:pt idx="0">
                  <c:v>40.00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44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shade val="44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shade val="44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44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6">
                  <a:shade val="44000"/>
                  <a:shade val="95000"/>
                </a:schemeClr>
              </a:contourClr>
            </a:sp3d>
          </c:spPr>
          <c:cat>
            <c:numRef>
              <c:f>'2k3'!$O$115:$W$115</c:f>
              <c:numCache>
                <c:formatCode>0.00</c:formatCode>
                <c:ptCount val="9"/>
                <c:pt idx="0">
                  <c:v>3.5</c:v>
                </c:pt>
                <c:pt idx="1">
                  <c:v>3.9375</c:v>
                </c:pt>
                <c:pt idx="2">
                  <c:v>4.375</c:v>
                </c:pt>
                <c:pt idx="3">
                  <c:v>4.8125</c:v>
                </c:pt>
                <c:pt idx="4">
                  <c:v>5.25</c:v>
                </c:pt>
                <c:pt idx="5">
                  <c:v>5.6875</c:v>
                </c:pt>
                <c:pt idx="6">
                  <c:v>6.125</c:v>
                </c:pt>
                <c:pt idx="7">
                  <c:v>6.5625</c:v>
                </c:pt>
                <c:pt idx="8">
                  <c:v>7</c:v>
                </c:pt>
              </c:numCache>
            </c:numRef>
          </c:cat>
          <c:val>
            <c:numRef>
              <c:f>'2k3'!$O$117:$W$117</c:f>
              <c:numCache>
                <c:formatCode>0.00</c:formatCode>
                <c:ptCount val="9"/>
                <c:pt idx="0">
                  <c:v>8.0000450000000001</c:v>
                </c:pt>
                <c:pt idx="1">
                  <c:v>8.2500412499999989</c:v>
                </c:pt>
                <c:pt idx="2">
                  <c:v>8.5000374999999995</c:v>
                </c:pt>
                <c:pt idx="3">
                  <c:v>8.7500337499999983</c:v>
                </c:pt>
                <c:pt idx="4">
                  <c:v>9.0000299999999989</c:v>
                </c:pt>
                <c:pt idx="5">
                  <c:v>9.2500262499999995</c:v>
                </c:pt>
                <c:pt idx="6">
                  <c:v>9.5000224999999983</c:v>
                </c:pt>
                <c:pt idx="7">
                  <c:v>9.7500187499999988</c:v>
                </c:pt>
                <c:pt idx="8">
                  <c:v>10.000014999999998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2C-4FF9-85E6-BC4C6A0C666B}"/>
            </c:ext>
          </c:extLst>
        </c:ser>
        <c:ser>
          <c:idx val="1"/>
          <c:order val="1"/>
          <c:tx>
            <c:strRef>
              <c:f>'2k3'!$M$118</c:f>
              <c:strCache>
                <c:ptCount val="1"/>
                <c:pt idx="0">
                  <c:v>42.50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8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shade val="58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shade val="58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58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6">
                  <a:shade val="58000"/>
                  <a:shade val="95000"/>
                </a:schemeClr>
              </a:contourClr>
            </a:sp3d>
          </c:spPr>
          <c:cat>
            <c:numRef>
              <c:f>'2k3'!$O$115:$W$115</c:f>
              <c:numCache>
                <c:formatCode>0.00</c:formatCode>
                <c:ptCount val="9"/>
                <c:pt idx="0">
                  <c:v>3.5</c:v>
                </c:pt>
                <c:pt idx="1">
                  <c:v>3.9375</c:v>
                </c:pt>
                <c:pt idx="2">
                  <c:v>4.375</c:v>
                </c:pt>
                <c:pt idx="3">
                  <c:v>4.8125</c:v>
                </c:pt>
                <c:pt idx="4">
                  <c:v>5.25</c:v>
                </c:pt>
                <c:pt idx="5">
                  <c:v>5.6875</c:v>
                </c:pt>
                <c:pt idx="6">
                  <c:v>6.125</c:v>
                </c:pt>
                <c:pt idx="7">
                  <c:v>6.5625</c:v>
                </c:pt>
                <c:pt idx="8">
                  <c:v>7</c:v>
                </c:pt>
              </c:numCache>
            </c:numRef>
          </c:cat>
          <c:val>
            <c:numRef>
              <c:f>'2k3'!$O$118:$W$118</c:f>
              <c:numCache>
                <c:formatCode>0.00</c:formatCode>
                <c:ptCount val="9"/>
                <c:pt idx="0">
                  <c:v>8.375045625000002</c:v>
                </c:pt>
                <c:pt idx="1">
                  <c:v>8.6328543750000009</c:v>
                </c:pt>
                <c:pt idx="2">
                  <c:v>8.8906631250000014</c:v>
                </c:pt>
                <c:pt idx="3">
                  <c:v>9.1484718750000003</c:v>
                </c:pt>
                <c:pt idx="4">
                  <c:v>9.4062806250000008</c:v>
                </c:pt>
                <c:pt idx="5">
                  <c:v>9.6640893750000014</c:v>
                </c:pt>
                <c:pt idx="6">
                  <c:v>9.9218981250000002</c:v>
                </c:pt>
                <c:pt idx="7">
                  <c:v>10.179706875000001</c:v>
                </c:pt>
                <c:pt idx="8">
                  <c:v>10.437515625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2C-4FF9-85E6-BC4C6A0C666B}"/>
            </c:ext>
          </c:extLst>
        </c:ser>
        <c:ser>
          <c:idx val="2"/>
          <c:order val="2"/>
          <c:tx>
            <c:strRef>
              <c:f>'2k3'!$M$119</c:f>
              <c:strCache>
                <c:ptCount val="1"/>
                <c:pt idx="0">
                  <c:v>45.00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72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shade val="72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shade val="72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72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6">
                  <a:shade val="72000"/>
                  <a:shade val="95000"/>
                </a:schemeClr>
              </a:contourClr>
            </a:sp3d>
          </c:spPr>
          <c:cat>
            <c:numRef>
              <c:f>'2k3'!$O$115:$W$115</c:f>
              <c:numCache>
                <c:formatCode>0.00</c:formatCode>
                <c:ptCount val="9"/>
                <c:pt idx="0">
                  <c:v>3.5</c:v>
                </c:pt>
                <c:pt idx="1">
                  <c:v>3.9375</c:v>
                </c:pt>
                <c:pt idx="2">
                  <c:v>4.375</c:v>
                </c:pt>
                <c:pt idx="3">
                  <c:v>4.8125</c:v>
                </c:pt>
                <c:pt idx="4">
                  <c:v>5.25</c:v>
                </c:pt>
                <c:pt idx="5">
                  <c:v>5.6875</c:v>
                </c:pt>
                <c:pt idx="6">
                  <c:v>6.125</c:v>
                </c:pt>
                <c:pt idx="7">
                  <c:v>6.5625</c:v>
                </c:pt>
                <c:pt idx="8">
                  <c:v>7</c:v>
                </c:pt>
              </c:numCache>
            </c:numRef>
          </c:cat>
          <c:val>
            <c:numRef>
              <c:f>'2k3'!$O$119:$W$119</c:f>
              <c:numCache>
                <c:formatCode>0.00</c:formatCode>
                <c:ptCount val="9"/>
                <c:pt idx="0">
                  <c:v>8.7500462500000005</c:v>
                </c:pt>
                <c:pt idx="1">
                  <c:v>9.0156675000000011</c:v>
                </c:pt>
                <c:pt idx="2">
                  <c:v>9.2812887500000016</c:v>
                </c:pt>
                <c:pt idx="3">
                  <c:v>9.5469100000000005</c:v>
                </c:pt>
                <c:pt idx="4">
                  <c:v>9.812531250000001</c:v>
                </c:pt>
                <c:pt idx="5">
                  <c:v>10.078152500000002</c:v>
                </c:pt>
                <c:pt idx="6">
                  <c:v>10.34377375</c:v>
                </c:pt>
                <c:pt idx="7">
                  <c:v>10.609395000000001</c:v>
                </c:pt>
                <c:pt idx="8">
                  <c:v>10.875016250000002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2C-4FF9-85E6-BC4C6A0C666B}"/>
            </c:ext>
          </c:extLst>
        </c:ser>
        <c:ser>
          <c:idx val="3"/>
          <c:order val="3"/>
          <c:tx>
            <c:strRef>
              <c:f>'2k3'!$M$120</c:f>
              <c:strCache>
                <c:ptCount val="1"/>
                <c:pt idx="0">
                  <c:v>47.50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shade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shade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86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6">
                  <a:shade val="86000"/>
                  <a:shade val="95000"/>
                </a:schemeClr>
              </a:contourClr>
            </a:sp3d>
          </c:spPr>
          <c:cat>
            <c:numRef>
              <c:f>'2k3'!$O$115:$W$115</c:f>
              <c:numCache>
                <c:formatCode>0.00</c:formatCode>
                <c:ptCount val="9"/>
                <c:pt idx="0">
                  <c:v>3.5</c:v>
                </c:pt>
                <c:pt idx="1">
                  <c:v>3.9375</c:v>
                </c:pt>
                <c:pt idx="2">
                  <c:v>4.375</c:v>
                </c:pt>
                <c:pt idx="3">
                  <c:v>4.8125</c:v>
                </c:pt>
                <c:pt idx="4">
                  <c:v>5.25</c:v>
                </c:pt>
                <c:pt idx="5">
                  <c:v>5.6875</c:v>
                </c:pt>
                <c:pt idx="6">
                  <c:v>6.125</c:v>
                </c:pt>
                <c:pt idx="7">
                  <c:v>6.5625</c:v>
                </c:pt>
                <c:pt idx="8">
                  <c:v>7</c:v>
                </c:pt>
              </c:numCache>
            </c:numRef>
          </c:cat>
          <c:val>
            <c:numRef>
              <c:f>'2k3'!$O$120:$W$120</c:f>
              <c:numCache>
                <c:formatCode>0.00</c:formatCode>
                <c:ptCount val="9"/>
                <c:pt idx="0">
                  <c:v>9.1250468750000007</c:v>
                </c:pt>
                <c:pt idx="1">
                  <c:v>9.3984806249999995</c:v>
                </c:pt>
                <c:pt idx="2">
                  <c:v>9.6719143750000001</c:v>
                </c:pt>
                <c:pt idx="3">
                  <c:v>9.9453481249999989</c:v>
                </c:pt>
                <c:pt idx="4">
                  <c:v>10.218781874999999</c:v>
                </c:pt>
                <c:pt idx="5">
                  <c:v>10.492215625</c:v>
                </c:pt>
                <c:pt idx="6">
                  <c:v>10.765649374999999</c:v>
                </c:pt>
                <c:pt idx="7">
                  <c:v>11.039083124999999</c:v>
                </c:pt>
                <c:pt idx="8">
                  <c:v>11.312516874999998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2C-4FF9-85E6-BC4C6A0C666B}"/>
            </c:ext>
          </c:extLst>
        </c:ser>
        <c:ser>
          <c:idx val="4"/>
          <c:order val="4"/>
          <c:tx>
            <c:strRef>
              <c:f>'2k3'!$M$121</c:f>
              <c:strCache>
                <c:ptCount val="1"/>
                <c:pt idx="0">
                  <c:v>50.00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6">
                  <a:shade val="95000"/>
                </a:schemeClr>
              </a:contourClr>
            </a:sp3d>
          </c:spPr>
          <c:cat>
            <c:numRef>
              <c:f>'2k3'!$O$115:$W$115</c:f>
              <c:numCache>
                <c:formatCode>0.00</c:formatCode>
                <c:ptCount val="9"/>
                <c:pt idx="0">
                  <c:v>3.5</c:v>
                </c:pt>
                <c:pt idx="1">
                  <c:v>3.9375</c:v>
                </c:pt>
                <c:pt idx="2">
                  <c:v>4.375</c:v>
                </c:pt>
                <c:pt idx="3">
                  <c:v>4.8125</c:v>
                </c:pt>
                <c:pt idx="4">
                  <c:v>5.25</c:v>
                </c:pt>
                <c:pt idx="5">
                  <c:v>5.6875</c:v>
                </c:pt>
                <c:pt idx="6">
                  <c:v>6.125</c:v>
                </c:pt>
                <c:pt idx="7">
                  <c:v>6.5625</c:v>
                </c:pt>
                <c:pt idx="8">
                  <c:v>7</c:v>
                </c:pt>
              </c:numCache>
            </c:numRef>
          </c:cat>
          <c:val>
            <c:numRef>
              <c:f>'2k3'!$O$121:$W$121</c:f>
              <c:numCache>
                <c:formatCode>0.00</c:formatCode>
                <c:ptCount val="9"/>
                <c:pt idx="0">
                  <c:v>9.5000474999999991</c:v>
                </c:pt>
                <c:pt idx="1">
                  <c:v>9.7812937499999997</c:v>
                </c:pt>
                <c:pt idx="2">
                  <c:v>10.06254</c:v>
                </c:pt>
                <c:pt idx="3">
                  <c:v>10.343786249999999</c:v>
                </c:pt>
                <c:pt idx="4">
                  <c:v>10.6250325</c:v>
                </c:pt>
                <c:pt idx="5">
                  <c:v>10.90627875</c:v>
                </c:pt>
                <c:pt idx="6">
                  <c:v>11.187524999999999</c:v>
                </c:pt>
                <c:pt idx="7">
                  <c:v>11.46877125</c:v>
                </c:pt>
                <c:pt idx="8">
                  <c:v>11.7500175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2C-4FF9-85E6-BC4C6A0C666B}"/>
            </c:ext>
          </c:extLst>
        </c:ser>
        <c:ser>
          <c:idx val="5"/>
          <c:order val="5"/>
          <c:tx>
            <c:strRef>
              <c:f>'2k3'!$M$122</c:f>
              <c:strCache>
                <c:ptCount val="1"/>
                <c:pt idx="0">
                  <c:v>52.50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86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tint val="86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tint val="8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tint val="86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6">
                  <a:tint val="86000"/>
                  <a:shade val="95000"/>
                </a:schemeClr>
              </a:contourClr>
            </a:sp3d>
          </c:spPr>
          <c:cat>
            <c:numRef>
              <c:f>'2k3'!$O$115:$W$115</c:f>
              <c:numCache>
                <c:formatCode>0.00</c:formatCode>
                <c:ptCount val="9"/>
                <c:pt idx="0">
                  <c:v>3.5</c:v>
                </c:pt>
                <c:pt idx="1">
                  <c:v>3.9375</c:v>
                </c:pt>
                <c:pt idx="2">
                  <c:v>4.375</c:v>
                </c:pt>
                <c:pt idx="3">
                  <c:v>4.8125</c:v>
                </c:pt>
                <c:pt idx="4">
                  <c:v>5.25</c:v>
                </c:pt>
                <c:pt idx="5">
                  <c:v>5.6875</c:v>
                </c:pt>
                <c:pt idx="6">
                  <c:v>6.125</c:v>
                </c:pt>
                <c:pt idx="7">
                  <c:v>6.5625</c:v>
                </c:pt>
                <c:pt idx="8">
                  <c:v>7</c:v>
                </c:pt>
              </c:numCache>
            </c:numRef>
          </c:cat>
          <c:val>
            <c:numRef>
              <c:f>'2k3'!$O$122:$W$122</c:f>
              <c:numCache>
                <c:formatCode>0.00</c:formatCode>
                <c:ptCount val="9"/>
                <c:pt idx="0">
                  <c:v>9.8750481250000011</c:v>
                </c:pt>
                <c:pt idx="1">
                  <c:v>10.164106875</c:v>
                </c:pt>
                <c:pt idx="2">
                  <c:v>10.453165625</c:v>
                </c:pt>
                <c:pt idx="3">
                  <c:v>10.742224374999999</c:v>
                </c:pt>
                <c:pt idx="4">
                  <c:v>11.031283125</c:v>
                </c:pt>
                <c:pt idx="5">
                  <c:v>11.320341875</c:v>
                </c:pt>
                <c:pt idx="6">
                  <c:v>11.609400624999999</c:v>
                </c:pt>
                <c:pt idx="7">
                  <c:v>11.898459375</c:v>
                </c:pt>
                <c:pt idx="8">
                  <c:v>12.187518124999999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2C-4FF9-85E6-BC4C6A0C666B}"/>
            </c:ext>
          </c:extLst>
        </c:ser>
        <c:ser>
          <c:idx val="6"/>
          <c:order val="6"/>
          <c:tx>
            <c:strRef>
              <c:f>'2k3'!$M$123</c:f>
              <c:strCache>
                <c:ptCount val="1"/>
                <c:pt idx="0">
                  <c:v>55.00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72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tint val="72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tint val="72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tint val="72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6">
                  <a:tint val="72000"/>
                  <a:shade val="95000"/>
                </a:schemeClr>
              </a:contourClr>
            </a:sp3d>
          </c:spPr>
          <c:cat>
            <c:numRef>
              <c:f>'2k3'!$O$115:$W$115</c:f>
              <c:numCache>
                <c:formatCode>0.00</c:formatCode>
                <c:ptCount val="9"/>
                <c:pt idx="0">
                  <c:v>3.5</c:v>
                </c:pt>
                <c:pt idx="1">
                  <c:v>3.9375</c:v>
                </c:pt>
                <c:pt idx="2">
                  <c:v>4.375</c:v>
                </c:pt>
                <c:pt idx="3">
                  <c:v>4.8125</c:v>
                </c:pt>
                <c:pt idx="4">
                  <c:v>5.25</c:v>
                </c:pt>
                <c:pt idx="5">
                  <c:v>5.6875</c:v>
                </c:pt>
                <c:pt idx="6">
                  <c:v>6.125</c:v>
                </c:pt>
                <c:pt idx="7">
                  <c:v>6.5625</c:v>
                </c:pt>
                <c:pt idx="8">
                  <c:v>7</c:v>
                </c:pt>
              </c:numCache>
            </c:numRef>
          </c:cat>
          <c:val>
            <c:numRef>
              <c:f>'2k3'!$O$123:$W$123</c:f>
              <c:numCache>
                <c:formatCode>0.00</c:formatCode>
                <c:ptCount val="9"/>
                <c:pt idx="0">
                  <c:v>10.250048749999998</c:v>
                </c:pt>
                <c:pt idx="1">
                  <c:v>10.546919999999998</c:v>
                </c:pt>
                <c:pt idx="2">
                  <c:v>10.843791249999999</c:v>
                </c:pt>
                <c:pt idx="3">
                  <c:v>11.140662499999998</c:v>
                </c:pt>
                <c:pt idx="4">
                  <c:v>11.437533749999998</c:v>
                </c:pt>
                <c:pt idx="5">
                  <c:v>11.734404999999999</c:v>
                </c:pt>
                <c:pt idx="6">
                  <c:v>12.031276249999998</c:v>
                </c:pt>
                <c:pt idx="7">
                  <c:v>12.328147499999998</c:v>
                </c:pt>
                <c:pt idx="8">
                  <c:v>12.625018749999999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2C-4FF9-85E6-BC4C6A0C666B}"/>
            </c:ext>
          </c:extLst>
        </c:ser>
        <c:ser>
          <c:idx val="7"/>
          <c:order val="7"/>
          <c:tx>
            <c:strRef>
              <c:f>'2k3'!$M$124</c:f>
              <c:strCache>
                <c:ptCount val="1"/>
                <c:pt idx="0">
                  <c:v>57.50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8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tint val="58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tint val="58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tint val="58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6">
                  <a:tint val="58000"/>
                  <a:shade val="95000"/>
                </a:schemeClr>
              </a:contourClr>
            </a:sp3d>
          </c:spPr>
          <c:cat>
            <c:numRef>
              <c:f>'2k3'!$O$115:$W$115</c:f>
              <c:numCache>
                <c:formatCode>0.00</c:formatCode>
                <c:ptCount val="9"/>
                <c:pt idx="0">
                  <c:v>3.5</c:v>
                </c:pt>
                <c:pt idx="1">
                  <c:v>3.9375</c:v>
                </c:pt>
                <c:pt idx="2">
                  <c:v>4.375</c:v>
                </c:pt>
                <c:pt idx="3">
                  <c:v>4.8125</c:v>
                </c:pt>
                <c:pt idx="4">
                  <c:v>5.25</c:v>
                </c:pt>
                <c:pt idx="5">
                  <c:v>5.6875</c:v>
                </c:pt>
                <c:pt idx="6">
                  <c:v>6.125</c:v>
                </c:pt>
                <c:pt idx="7">
                  <c:v>6.5625</c:v>
                </c:pt>
                <c:pt idx="8">
                  <c:v>7</c:v>
                </c:pt>
              </c:numCache>
            </c:numRef>
          </c:cat>
          <c:val>
            <c:numRef>
              <c:f>'2k3'!$O$124:$W$124</c:f>
              <c:numCache>
                <c:formatCode>0.00</c:formatCode>
                <c:ptCount val="9"/>
                <c:pt idx="0">
                  <c:v>10.625049375</c:v>
                </c:pt>
                <c:pt idx="1">
                  <c:v>10.929733124999998</c:v>
                </c:pt>
                <c:pt idx="2">
                  <c:v>11.234416874999999</c:v>
                </c:pt>
                <c:pt idx="3">
                  <c:v>11.539100624999998</c:v>
                </c:pt>
                <c:pt idx="4">
                  <c:v>11.843784374999998</c:v>
                </c:pt>
                <c:pt idx="5">
                  <c:v>12.148468124999999</c:v>
                </c:pt>
                <c:pt idx="6">
                  <c:v>12.453151874999998</c:v>
                </c:pt>
                <c:pt idx="7">
                  <c:v>12.757835624999998</c:v>
                </c:pt>
                <c:pt idx="8">
                  <c:v>13.062519374999997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72C-4FF9-85E6-BC4C6A0C666B}"/>
            </c:ext>
          </c:extLst>
        </c:ser>
        <c:ser>
          <c:idx val="8"/>
          <c:order val="8"/>
          <c:tx>
            <c:strRef>
              <c:f>'2k3'!$M$125</c:f>
              <c:strCache>
                <c:ptCount val="1"/>
                <c:pt idx="0">
                  <c:v>60.00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44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tint val="44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tint val="44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tint val="44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6">
                  <a:tint val="44000"/>
                  <a:shade val="95000"/>
                </a:schemeClr>
              </a:contourClr>
            </a:sp3d>
          </c:spPr>
          <c:cat>
            <c:numRef>
              <c:f>'2k3'!$O$115:$W$115</c:f>
              <c:numCache>
                <c:formatCode>0.00</c:formatCode>
                <c:ptCount val="9"/>
                <c:pt idx="0">
                  <c:v>3.5</c:v>
                </c:pt>
                <c:pt idx="1">
                  <c:v>3.9375</c:v>
                </c:pt>
                <c:pt idx="2">
                  <c:v>4.375</c:v>
                </c:pt>
                <c:pt idx="3">
                  <c:v>4.8125</c:v>
                </c:pt>
                <c:pt idx="4">
                  <c:v>5.25</c:v>
                </c:pt>
                <c:pt idx="5">
                  <c:v>5.6875</c:v>
                </c:pt>
                <c:pt idx="6">
                  <c:v>6.125</c:v>
                </c:pt>
                <c:pt idx="7">
                  <c:v>6.5625</c:v>
                </c:pt>
                <c:pt idx="8">
                  <c:v>7</c:v>
                </c:pt>
              </c:numCache>
            </c:numRef>
          </c:cat>
          <c:val>
            <c:numRef>
              <c:f>'2k3'!$O$125:$W$125</c:f>
              <c:numCache>
                <c:formatCode>0.00</c:formatCode>
                <c:ptCount val="9"/>
                <c:pt idx="0">
                  <c:v>11.000050000000002</c:v>
                </c:pt>
                <c:pt idx="1">
                  <c:v>11.31254625</c:v>
                </c:pt>
                <c:pt idx="2">
                  <c:v>11.625042500000001</c:v>
                </c:pt>
                <c:pt idx="3">
                  <c:v>11.93753875</c:v>
                </c:pt>
                <c:pt idx="4">
                  <c:v>12.250035</c:v>
                </c:pt>
                <c:pt idx="5">
                  <c:v>12.562531250000001</c:v>
                </c:pt>
                <c:pt idx="6">
                  <c:v>12.8750275</c:v>
                </c:pt>
                <c:pt idx="7">
                  <c:v>13.18752375</c:v>
                </c:pt>
                <c:pt idx="8">
                  <c:v>13.500019999999999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72C-4FF9-85E6-BC4C6A0C666B}"/>
            </c:ext>
          </c:extLst>
        </c:ser>
        <c:bandFmts>
          <c:bandFmt>
            <c:idx val="0"/>
            <c:spPr>
              <a:gradFill rotWithShape="1">
                <a:gsLst>
                  <a:gs pos="0">
                    <a:schemeClr val="accent6">
                      <a:shade val="53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shade val="53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shade val="53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53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shade val="53000"/>
                    <a:shade val="95000"/>
                  </a:schemeClr>
                </a:contourClr>
              </a:sp3d>
            </c:spPr>
          </c:bandFmt>
          <c:bandFmt>
            <c:idx val="1"/>
            <c:spPr>
              <a:gradFill rotWithShape="1">
                <a:gsLst>
                  <a:gs pos="0">
                    <a:schemeClr val="accent6">
                      <a:shade val="7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shade val="7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shade val="7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76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shade val="76000"/>
                    <a:shade val="95000"/>
                  </a:schemeClr>
                </a:contourClr>
              </a:sp3d>
            </c:spPr>
          </c:bandFmt>
          <c:bandFmt>
            <c:idx val="2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shade val="95000"/>
                  </a:schemeClr>
                </a:contourClr>
              </a:sp3d>
            </c:spPr>
          </c:bandFmt>
          <c:bandFmt>
            <c:idx val="3"/>
            <c:spPr>
              <a:gradFill rotWithShape="1">
                <a:gsLst>
                  <a:gs pos="0">
                    <a:schemeClr val="accent6">
                      <a:tint val="77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tint val="77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tint val="77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tint val="77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tint val="77000"/>
                    <a:shade val="95000"/>
                  </a:schemeClr>
                </a:contourClr>
              </a:sp3d>
            </c:spPr>
          </c:bandFmt>
          <c:bandFmt>
            <c:idx val="4"/>
            <c:spPr>
              <a:gradFill rotWithShape="1">
                <a:gsLst>
                  <a:gs pos="0">
                    <a:schemeClr val="accent6">
                      <a:tint val="54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tint val="54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tint val="54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tint val="54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tint val="54000"/>
                    <a:shade val="95000"/>
                  </a:schemeClr>
                </a:contourClr>
              </a:sp3d>
            </c:spPr>
          </c:bandFmt>
          <c:bandFmt>
            <c:idx val="5"/>
            <c:spPr>
              <a:gradFill rotWithShape="1">
                <a:gsLst>
                  <a:gs pos="0">
                    <a:schemeClr val="accent6">
                      <a:tint val="3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tint val="3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tint val="3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tint val="3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tint val="30000"/>
                    <a:shade val="95000"/>
                  </a:schemeClr>
                </a:contourClr>
              </a:sp3d>
            </c:spPr>
          </c:bandFmt>
          <c:bandFmt>
            <c:idx val="6"/>
            <c:spPr>
              <a:gradFill rotWithShape="1">
                <a:gsLst>
                  <a:gs pos="0">
                    <a:schemeClr val="accent6">
                      <a:tint val="7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tint val="7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tint val="7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tint val="7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tint val="7000"/>
                    <a:shade val="95000"/>
                  </a:schemeClr>
                </a:contourClr>
              </a:sp3d>
            </c:spPr>
          </c:bandFmt>
          <c:bandFmt>
            <c:idx val="7"/>
            <c:spPr>
              <a:gradFill rotWithShape="1">
                <a:gsLst>
                  <a:gs pos="0">
                    <a:schemeClr val="accent6">
                      <a:tint val="84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tint val="84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tint val="84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tint val="84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tint val="84000"/>
                    <a:shade val="95000"/>
                  </a:schemeClr>
                </a:contourClr>
              </a:sp3d>
            </c:spPr>
          </c:bandFmt>
          <c:bandFmt>
            <c:idx val="8"/>
            <c:spPr>
              <a:gradFill rotWithShape="1">
                <a:gsLst>
                  <a:gs pos="0">
                    <a:schemeClr val="accent6">
                      <a:tint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tint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tint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tint val="6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tint val="60000"/>
                    <a:shade val="95000"/>
                  </a:schemeClr>
                </a:contourClr>
              </a:sp3d>
            </c:spPr>
          </c:bandFmt>
          <c:bandFmt>
            <c:idx val="9"/>
            <c:spPr>
              <a:gradFill rotWithShape="1">
                <a:gsLst>
                  <a:gs pos="0">
                    <a:schemeClr val="accent6">
                      <a:tint val="37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tint val="37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tint val="37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tint val="37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tint val="37000"/>
                    <a:shade val="95000"/>
                  </a:schemeClr>
                </a:contourClr>
              </a:sp3d>
            </c:spPr>
          </c:bandFmt>
          <c:bandFmt>
            <c:idx val="10"/>
            <c:spPr>
              <a:gradFill rotWithShape="1">
                <a:gsLst>
                  <a:gs pos="0">
                    <a:schemeClr val="accent6">
                      <a:tint val="14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tint val="14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tint val="14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tint val="14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tint val="14000"/>
                    <a:shade val="95000"/>
                  </a:schemeClr>
                </a:contourClr>
              </a:sp3d>
            </c:spPr>
          </c:bandFmt>
          <c:bandFmt>
            <c:idx val="11"/>
            <c:spPr>
              <a:gradFill rotWithShape="1">
                <a:gsLst>
                  <a:gs pos="0">
                    <a:schemeClr val="accent6">
                      <a:tint val="9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tint val="9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tint val="9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tint val="9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tint val="90000"/>
                    <a:shade val="95000"/>
                  </a:schemeClr>
                </a:contourClr>
              </a:sp3d>
            </c:spPr>
          </c:bandFmt>
          <c:bandFmt>
            <c:idx val="12"/>
            <c:spPr>
              <a:gradFill rotWithShape="1">
                <a:gsLst>
                  <a:gs pos="0">
                    <a:schemeClr val="accent6">
                      <a:tint val="67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tint val="67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tint val="67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tint val="67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tint val="67000"/>
                    <a:shade val="95000"/>
                  </a:schemeClr>
                </a:contourClr>
              </a:sp3d>
            </c:spPr>
          </c:bandFmt>
          <c:bandFmt>
            <c:idx val="13"/>
            <c:spPr>
              <a:gradFill rotWithShape="1">
                <a:gsLst>
                  <a:gs pos="0">
                    <a:schemeClr val="accent6">
                      <a:tint val="44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tint val="44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tint val="44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tint val="44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tint val="44000"/>
                    <a:shade val="95000"/>
                  </a:schemeClr>
                </a:contourClr>
              </a:sp3d>
            </c:spPr>
          </c:bandFmt>
          <c:bandFmt>
            <c:idx val="14"/>
            <c:spPr>
              <a:gradFill rotWithShape="1">
                <a:gsLst>
                  <a:gs pos="0">
                    <a:schemeClr val="accent6">
                      <a:tint val="2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tint val="2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tint val="2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6">
                    <a:tint val="20000"/>
                    <a:shade val="95000"/>
                  </a:schemeClr>
                </a:solidFill>
                <a:round/>
              </a:ln>
              <a:effectLst/>
              <a:sp3d contourW="9525">
                <a:contourClr>
                  <a:schemeClr val="accent6">
                    <a:tint val="20000"/>
                    <a:shade val="95000"/>
                  </a:schemeClr>
                </a:contourClr>
              </a:sp3d>
            </c:spPr>
          </c:bandFmt>
        </c:bandFmts>
        <c:axId val="618006960"/>
        <c:axId val="618015816"/>
        <c:axId val="469793864"/>
      </c:surface3DChart>
      <c:catAx>
        <c:axId val="618006960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015816"/>
        <c:crosses val="autoZero"/>
        <c:auto val="1"/>
        <c:lblAlgn val="ctr"/>
        <c:lblOffset val="500"/>
        <c:tickLblSkip val="2"/>
        <c:tickMarkSkip val="2"/>
        <c:noMultiLvlLbl val="0"/>
      </c:catAx>
      <c:valAx>
        <c:axId val="61801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006960"/>
        <c:crosses val="autoZero"/>
        <c:crossBetween val="midCat"/>
      </c:valAx>
      <c:serAx>
        <c:axId val="469793864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015816"/>
        <c:crosses val="autoZero"/>
        <c:tickLblSkip val="2"/>
        <c:tickMarkSkip val="2"/>
      </c:ser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974763268413908E-2"/>
          <c:y val="0.12349804633861833"/>
          <c:w val="0.20215177724403824"/>
          <c:h val="0.446049307857335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45381412044802227"/>
                  <c:y val="-4.25542392484168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'2k3'!$E$87:$E$102</c:f>
              <c:numCache>
                <c:formatCode>0.000</c:formatCode>
                <c:ptCount val="16"/>
                <c:pt idx="0">
                  <c:v>-1.8627318674216511</c:v>
                </c:pt>
                <c:pt idx="1">
                  <c:v>-1.3180108973035372</c:v>
                </c:pt>
                <c:pt idx="2">
                  <c:v>-1.0099901692495805</c:v>
                </c:pt>
                <c:pt idx="3">
                  <c:v>-0.77642176114792794</c:v>
                </c:pt>
                <c:pt idx="4">
                  <c:v>-0.57913216225555586</c:v>
                </c:pt>
                <c:pt idx="5">
                  <c:v>-0.40225006532172536</c:v>
                </c:pt>
                <c:pt idx="6">
                  <c:v>-0.23720210932878771</c:v>
                </c:pt>
                <c:pt idx="7">
                  <c:v>-7.8412412733112211E-2</c:v>
                </c:pt>
                <c:pt idx="8">
                  <c:v>7.8412412733112211E-2</c:v>
                </c:pt>
                <c:pt idx="9">
                  <c:v>0.23720210932878771</c:v>
                </c:pt>
                <c:pt idx="10">
                  <c:v>0.40225006532172536</c:v>
                </c:pt>
                <c:pt idx="11">
                  <c:v>0.57913216225555586</c:v>
                </c:pt>
                <c:pt idx="12">
                  <c:v>0.77642176114792794</c:v>
                </c:pt>
                <c:pt idx="13">
                  <c:v>1.0099901692495805</c:v>
                </c:pt>
                <c:pt idx="14">
                  <c:v>1.3180108973035372</c:v>
                </c:pt>
                <c:pt idx="15">
                  <c:v>1.8627318674216511</c:v>
                </c:pt>
              </c:numCache>
            </c:numRef>
          </c:xVal>
          <c:yVal>
            <c:numRef>
              <c:f>'2k3'!$M$87:$M$102</c:f>
              <c:numCache>
                <c:formatCode>0.000</c:formatCode>
                <c:ptCount val="16"/>
                <c:pt idx="0">
                  <c:v>-1.499979999999999</c:v>
                </c:pt>
                <c:pt idx="1">
                  <c:v>-1.4999699999999994</c:v>
                </c:pt>
                <c:pt idx="2">
                  <c:v>-1.000040000000002</c:v>
                </c:pt>
                <c:pt idx="3">
                  <c:v>-1.0000350000000005</c:v>
                </c:pt>
                <c:pt idx="4">
                  <c:v>-0.99999499999999841</c:v>
                </c:pt>
                <c:pt idx="5">
                  <c:v>-0.99996500000000044</c:v>
                </c:pt>
                <c:pt idx="6">
                  <c:v>-0.99974999999999703</c:v>
                </c:pt>
                <c:pt idx="7">
                  <c:v>-0.50001445000000366</c:v>
                </c:pt>
                <c:pt idx="8">
                  <c:v>0.50001444999999656</c:v>
                </c:pt>
                <c:pt idx="9">
                  <c:v>0.99975000000000236</c:v>
                </c:pt>
                <c:pt idx="10">
                  <c:v>0.99996499999999955</c:v>
                </c:pt>
                <c:pt idx="11">
                  <c:v>0.99999500000000197</c:v>
                </c:pt>
                <c:pt idx="12">
                  <c:v>1.0000350000000005</c:v>
                </c:pt>
                <c:pt idx="13">
                  <c:v>1.0000399999999985</c:v>
                </c:pt>
                <c:pt idx="14">
                  <c:v>1.4999700000000011</c:v>
                </c:pt>
                <c:pt idx="15">
                  <c:v>1.4999800000000008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4C-48BB-B50C-95EE84E80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30224"/>
        <c:axId val="533226288"/>
      </c:scatterChart>
      <c:valAx>
        <c:axId val="533230224"/>
        <c:scaling>
          <c:orientation val="minMax"/>
          <c:max val="2"/>
          <c:min val="-2"/>
        </c:scaling>
        <c:delete val="0"/>
        <c:axPos val="b"/>
        <c:numFmt formatCode="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226288"/>
        <c:crosses val="autoZero"/>
        <c:crossBetween val="midCat"/>
      </c:valAx>
      <c:valAx>
        <c:axId val="533226288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230224"/>
        <c:crosses val="autoZero"/>
        <c:crossBetween val="midCat"/>
      </c:valAx>
      <c:spPr>
        <a:noFill/>
        <a:ln>
          <a:solidFill>
            <a:schemeClr val="accent3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plotArea>
      <cx:plotAreaRegion>
        <cx:series layoutId="clusteredColumn" uniqueId="{05EED72E-6AE7-4FC4-92FD-F60D53DF01AC}">
          <cx:dataId val="0"/>
          <cx:layoutPr>
            <cx:binning intervalClosed="r">
              <cx:binCount val="4"/>
            </cx:binning>
          </cx:layoutPr>
        </cx:series>
      </cx:plotAreaRegion>
      <cx:axis id="0">
        <cx:catScaling gapWidth="0.270000011"/>
        <cx:tickLabels/>
        <cx:numFmt formatCode="0.00" sourceLinked="0"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700"/>
            </a:pPr>
            <a:endParaRPr lang="en-US" sz="7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numFmt formatCode="0.0" sourceLinked="0"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</cx:chartData>
  <cx:chart>
    <cx:plotArea>
      <cx:plotAreaRegion>
        <cx:series layoutId="clusteredColumn" uniqueId="{05EED72E-6AE7-4FC4-92FD-F60D53DF01AC}">
          <cx:dataId val="0"/>
          <cx:layoutPr>
            <cx:binning intervalClosed="r">
              <cx:binCount val="4"/>
            </cx:binning>
          </cx:layoutPr>
        </cx:series>
      </cx:plotAreaRegion>
      <cx:axis id="0">
        <cx:catScaling gapWidth="0.270000011"/>
        <cx:tickLabels/>
        <cx:numFmt formatCode="0.00" sourceLinked="0"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700"/>
            </a:pPr>
            <a:endParaRPr lang="en-US" sz="7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numFmt formatCode="0.0" sourceLinked="0"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4.xml"/><Relationship Id="rId10" Type="http://schemas.openxmlformats.org/officeDocument/2006/relationships/image" Target="../media/image5.png"/><Relationship Id="rId4" Type="http://schemas.microsoft.com/office/2014/relationships/chartEx" Target="../charts/chartEx1.xml"/><Relationship Id="rId9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7.xml"/><Relationship Id="rId7" Type="http://schemas.openxmlformats.org/officeDocument/2006/relationships/chart" Target="../charts/chart10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9.xml"/><Relationship Id="rId5" Type="http://schemas.microsoft.com/office/2014/relationships/chartEx" Target="../charts/chartEx2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380999</xdr:colOff>
      <xdr:row>14</xdr:row>
      <xdr:rowOff>63361</xdr:rowOff>
    </xdr:from>
    <xdr:to>
      <xdr:col>16</xdr:col>
      <xdr:colOff>338136</xdr:colOff>
      <xdr:row>30</xdr:row>
      <xdr:rowOff>52386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EA9E1C-7260-414E-9E69-09C7E9C2D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42864</xdr:colOff>
      <xdr:row>77</xdr:row>
      <xdr:rowOff>76198</xdr:rowOff>
    </xdr:from>
    <xdr:to>
      <xdr:col>24</xdr:col>
      <xdr:colOff>385763</xdr:colOff>
      <xdr:row>87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3CA99F5-FC1A-430D-933A-502056A03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90487</xdr:colOff>
      <xdr:row>87</xdr:row>
      <xdr:rowOff>61912</xdr:rowOff>
    </xdr:from>
    <xdr:to>
      <xdr:col>19</xdr:col>
      <xdr:colOff>42862</xdr:colOff>
      <xdr:row>97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E6FCBF1-C4DA-41CF-A912-A43338DC6D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77</xdr:row>
      <xdr:rowOff>76198</xdr:rowOff>
    </xdr:from>
    <xdr:to>
      <xdr:col>19</xdr:col>
      <xdr:colOff>38100</xdr:colOff>
      <xdr:row>87</xdr:row>
      <xdr:rowOff>66674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C13BB2AC-6D0E-43E5-8B62-A6C38C121F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98820" y="12854938"/>
              <a:ext cx="2918460" cy="14763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SG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19</xdr:col>
      <xdr:colOff>42862</xdr:colOff>
      <xdr:row>87</xdr:row>
      <xdr:rowOff>66675</xdr:rowOff>
    </xdr:from>
    <xdr:to>
      <xdr:col>24</xdr:col>
      <xdr:colOff>385761</xdr:colOff>
      <xdr:row>97</xdr:row>
      <xdr:rowOff>52387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9FE9065-3A00-4DFA-967D-698DE1A14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99060</xdr:colOff>
      <xdr:row>53</xdr:row>
      <xdr:rowOff>85724</xdr:rowOff>
    </xdr:from>
    <xdr:to>
      <xdr:col>22</xdr:col>
      <xdr:colOff>366713</xdr:colOff>
      <xdr:row>58</xdr:row>
      <xdr:rowOff>125729</xdr:rowOff>
    </xdr:to>
    <xdr:sp macro="" textlink="">
      <xdr:nvSpPr>
        <xdr:cNvPr id="8" name="Right Brace 7">
          <a:extLst>
            <a:ext uri="{FF2B5EF4-FFF2-40B4-BE49-F238E27FC236}">
              <a16:creationId xmlns:a16="http://schemas.microsoft.com/office/drawing/2014/main" id="{7AF2D0D8-4953-4A26-9C1D-7909CB5F6CE7}"/>
            </a:ext>
          </a:extLst>
        </xdr:cNvPr>
        <xdr:cNvSpPr/>
      </xdr:nvSpPr>
      <xdr:spPr>
        <a:xfrm>
          <a:off x="10336530" y="7960994"/>
          <a:ext cx="267653" cy="782955"/>
        </a:xfrm>
        <a:prstGeom prst="rightBrace">
          <a:avLst>
            <a:gd name="adj1" fmla="val 71124"/>
            <a:gd name="adj2" fmla="val 50000"/>
          </a:avLst>
        </a:prstGeom>
        <a:ln w="19050">
          <a:solidFill>
            <a:schemeClr val="accent6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166687</xdr:colOff>
      <xdr:row>65</xdr:row>
      <xdr:rowOff>47624</xdr:rowOff>
    </xdr:from>
    <xdr:to>
      <xdr:col>22</xdr:col>
      <xdr:colOff>371475</xdr:colOff>
      <xdr:row>70</xdr:row>
      <xdr:rowOff>76201</xdr:rowOff>
    </xdr:to>
    <xdr:sp macro="" textlink="">
      <xdr:nvSpPr>
        <xdr:cNvPr id="16" name="Right Brace 15">
          <a:extLst>
            <a:ext uri="{FF2B5EF4-FFF2-40B4-BE49-F238E27FC236}">
              <a16:creationId xmlns:a16="http://schemas.microsoft.com/office/drawing/2014/main" id="{0E9C5126-8A3F-4923-A3A5-71C9DCCDF4F1}"/>
            </a:ext>
          </a:extLst>
        </xdr:cNvPr>
        <xdr:cNvSpPr/>
      </xdr:nvSpPr>
      <xdr:spPr>
        <a:xfrm>
          <a:off x="10324147" y="10894694"/>
          <a:ext cx="204788" cy="771527"/>
        </a:xfrm>
        <a:prstGeom prst="rightBrace">
          <a:avLst>
            <a:gd name="adj1" fmla="val 71124"/>
            <a:gd name="adj2" fmla="val 50000"/>
          </a:avLst>
        </a:prstGeom>
        <a:ln w="19050">
          <a:solidFill>
            <a:schemeClr val="accent6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25</xdr:col>
      <xdr:colOff>160020</xdr:colOff>
      <xdr:row>22</xdr:row>
      <xdr:rowOff>19096</xdr:rowOff>
    </xdr:from>
    <xdr:to>
      <xdr:col>30</xdr:col>
      <xdr:colOff>39010</xdr:colOff>
      <xdr:row>25</xdr:row>
      <xdr:rowOff>129988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C79D2DC-9E88-4A01-B443-9F67F9F4A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751385" y="3273284"/>
          <a:ext cx="1896049" cy="554645"/>
        </a:xfrm>
        <a:prstGeom prst="rect">
          <a:avLst/>
        </a:prstGeom>
      </xdr:spPr>
    </xdr:pic>
    <xdr:clientData/>
  </xdr:twoCellAnchor>
  <xdr:twoCellAnchor editAs="oneCell">
    <xdr:from>
      <xdr:col>25</xdr:col>
      <xdr:colOff>101525</xdr:colOff>
      <xdr:row>7</xdr:row>
      <xdr:rowOff>35857</xdr:rowOff>
    </xdr:from>
    <xdr:to>
      <xdr:col>31</xdr:col>
      <xdr:colOff>211744</xdr:colOff>
      <xdr:row>11</xdr:row>
      <xdr:rowOff>90360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A0D9213-765E-4D9E-8366-FBF082A16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692890" y="1071281"/>
          <a:ext cx="2530689" cy="646173"/>
        </a:xfrm>
        <a:prstGeom prst="rect">
          <a:avLst/>
        </a:prstGeom>
      </xdr:spPr>
    </xdr:pic>
    <xdr:clientData/>
  </xdr:twoCellAnchor>
  <xdr:twoCellAnchor editAs="oneCell">
    <xdr:from>
      <xdr:col>25</xdr:col>
      <xdr:colOff>108121</xdr:colOff>
      <xdr:row>12</xdr:row>
      <xdr:rowOff>5154</xdr:rowOff>
    </xdr:from>
    <xdr:to>
      <xdr:col>29</xdr:col>
      <xdr:colOff>228599</xdr:colOff>
      <xdr:row>22</xdr:row>
      <xdr:rowOff>90863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15D1DE2-680C-4E81-A93F-6E2C071D3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699486" y="1780166"/>
          <a:ext cx="1734125" cy="1564885"/>
        </a:xfrm>
        <a:prstGeom prst="rect">
          <a:avLst/>
        </a:prstGeom>
      </xdr:spPr>
    </xdr:pic>
    <xdr:clientData/>
  </xdr:twoCellAnchor>
  <xdr:twoCellAnchor editAs="oneCell">
    <xdr:from>
      <xdr:col>25</xdr:col>
      <xdr:colOff>171899</xdr:colOff>
      <xdr:row>25</xdr:row>
      <xdr:rowOff>111651</xdr:rowOff>
    </xdr:from>
    <xdr:to>
      <xdr:col>30</xdr:col>
      <xdr:colOff>24907</xdr:colOff>
      <xdr:row>29</xdr:row>
      <xdr:rowOff>67235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A7BA61C-DCB5-460B-B1FD-DA3BCF3F0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763264" y="3809592"/>
          <a:ext cx="1870067" cy="547255"/>
        </a:xfrm>
        <a:prstGeom prst="rect">
          <a:avLst/>
        </a:prstGeom>
      </xdr:spPr>
    </xdr:pic>
    <xdr:clientData/>
  </xdr:twoCellAnchor>
  <xdr:twoCellAnchor editAs="oneCell">
    <xdr:from>
      <xdr:col>25</xdr:col>
      <xdr:colOff>174588</xdr:colOff>
      <xdr:row>29</xdr:row>
      <xdr:rowOff>19272</xdr:rowOff>
    </xdr:from>
    <xdr:to>
      <xdr:col>30</xdr:col>
      <xdr:colOff>76961</xdr:colOff>
      <xdr:row>32</xdr:row>
      <xdr:rowOff>94129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1916A8A-842E-485C-B9A6-39692C668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765953" y="4308884"/>
          <a:ext cx="1919432" cy="518610"/>
        </a:xfrm>
        <a:prstGeom prst="rect">
          <a:avLst/>
        </a:prstGeom>
      </xdr:spPr>
    </xdr:pic>
    <xdr:clientData/>
  </xdr:twoCellAnchor>
  <xdr:twoCellAnchor>
    <xdr:from>
      <xdr:col>2</xdr:col>
      <xdr:colOff>388620</xdr:colOff>
      <xdr:row>58</xdr:row>
      <xdr:rowOff>49530</xdr:rowOff>
    </xdr:from>
    <xdr:to>
      <xdr:col>8</xdr:col>
      <xdr:colOff>49530</xdr:colOff>
      <xdr:row>71</xdr:row>
      <xdr:rowOff>57150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ECD4AE4E-86BA-430D-BC7C-B728D71CD1BA}"/>
            </a:ext>
          </a:extLst>
        </xdr:cNvPr>
        <xdr:cNvSpPr/>
      </xdr:nvSpPr>
      <xdr:spPr>
        <a:xfrm>
          <a:off x="1196340" y="8717280"/>
          <a:ext cx="2183130" cy="1939290"/>
        </a:xfrm>
        <a:prstGeom prst="rect">
          <a:avLst/>
        </a:prstGeom>
        <a:noFill/>
        <a:ln w="76200"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380999</xdr:colOff>
      <xdr:row>18</xdr:row>
      <xdr:rowOff>63361</xdr:rowOff>
    </xdr:from>
    <xdr:to>
      <xdr:col>16</xdr:col>
      <xdr:colOff>338136</xdr:colOff>
      <xdr:row>34</xdr:row>
      <xdr:rowOff>52386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A1D0764-A50F-4ACB-84D2-FCAB11C93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42864</xdr:colOff>
      <xdr:row>85</xdr:row>
      <xdr:rowOff>76198</xdr:rowOff>
    </xdr:from>
    <xdr:to>
      <xdr:col>24</xdr:col>
      <xdr:colOff>385763</xdr:colOff>
      <xdr:row>95</xdr:row>
      <xdr:rowOff>61912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8C84597-F6EB-46FE-8C29-319E6361A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90487</xdr:colOff>
      <xdr:row>95</xdr:row>
      <xdr:rowOff>61912</xdr:rowOff>
    </xdr:from>
    <xdr:to>
      <xdr:col>19</xdr:col>
      <xdr:colOff>42862</xdr:colOff>
      <xdr:row>105</xdr:row>
      <xdr:rowOff>47624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6CAC97A-E3DD-4A5F-8AFA-BC9ABFD90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185739</xdr:colOff>
      <xdr:row>108</xdr:row>
      <xdr:rowOff>71436</xdr:rowOff>
    </xdr:from>
    <xdr:to>
      <xdr:col>9</xdr:col>
      <xdr:colOff>385763</xdr:colOff>
      <xdr:row>130</xdr:row>
      <xdr:rowOff>133350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2F75BEFE-E2C4-42D4-BBA1-00FC1800B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85</xdr:row>
      <xdr:rowOff>76198</xdr:rowOff>
    </xdr:from>
    <xdr:to>
      <xdr:col>19</xdr:col>
      <xdr:colOff>38100</xdr:colOff>
      <xdr:row>95</xdr:row>
      <xdr:rowOff>66674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3" name="Chart 22">
              <a:extLst>
                <a:ext uri="{FF2B5EF4-FFF2-40B4-BE49-F238E27FC236}">
                  <a16:creationId xmlns:a16="http://schemas.microsoft.com/office/drawing/2014/main" id="{BB65C6CF-987E-4FA2-946A-DF3A4E1A39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98820" y="12854938"/>
              <a:ext cx="2918460" cy="14763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SG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19</xdr:col>
      <xdr:colOff>42862</xdr:colOff>
      <xdr:row>95</xdr:row>
      <xdr:rowOff>66675</xdr:rowOff>
    </xdr:from>
    <xdr:to>
      <xdr:col>24</xdr:col>
      <xdr:colOff>385761</xdr:colOff>
      <xdr:row>105</xdr:row>
      <xdr:rowOff>52387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B28492C2-8DA3-439A-B3E9-1AB0D2CF2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161925</xdr:colOff>
      <xdr:row>61</xdr:row>
      <xdr:rowOff>85725</xdr:rowOff>
    </xdr:from>
    <xdr:to>
      <xdr:col>22</xdr:col>
      <xdr:colOff>366713</xdr:colOff>
      <xdr:row>66</xdr:row>
      <xdr:rowOff>114301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7EE84CCC-015D-47C7-A3BB-BC299B145D99}"/>
            </a:ext>
          </a:extLst>
        </xdr:cNvPr>
        <xdr:cNvSpPr/>
      </xdr:nvSpPr>
      <xdr:spPr>
        <a:xfrm>
          <a:off x="9796463" y="8648700"/>
          <a:ext cx="204788" cy="766764"/>
        </a:xfrm>
        <a:prstGeom prst="rightBrace">
          <a:avLst>
            <a:gd name="adj1" fmla="val 71124"/>
            <a:gd name="adj2" fmla="val 50000"/>
          </a:avLst>
        </a:prstGeom>
        <a:ln w="19050">
          <a:solidFill>
            <a:schemeClr val="accent6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200025</xdr:colOff>
      <xdr:row>132</xdr:row>
      <xdr:rowOff>80963</xdr:rowOff>
    </xdr:from>
    <xdr:to>
      <xdr:col>9</xdr:col>
      <xdr:colOff>400049</xdr:colOff>
      <xdr:row>154</xdr:row>
      <xdr:rowOff>142877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266BFD9B-643D-4D61-BC3A-22F36DB06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161924</xdr:colOff>
      <xdr:row>156</xdr:row>
      <xdr:rowOff>4762</xdr:rowOff>
    </xdr:from>
    <xdr:to>
      <xdr:col>10</xdr:col>
      <xdr:colOff>376237</xdr:colOff>
      <xdr:row>179</xdr:row>
      <xdr:rowOff>33338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020EFBDA-BAD7-43E1-8DCE-D011FE23D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36098</xdr:colOff>
      <xdr:row>68</xdr:row>
      <xdr:rowOff>47625</xdr:rowOff>
    </xdr:from>
    <xdr:to>
      <xdr:col>8</xdr:col>
      <xdr:colOff>23813</xdr:colOff>
      <xdr:row>79</xdr:row>
      <xdr:rowOff>76200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9B34828-D614-426F-9117-8672325CF6C2}"/>
            </a:ext>
          </a:extLst>
        </xdr:cNvPr>
        <xdr:cNvGrpSpPr/>
      </xdr:nvGrpSpPr>
      <xdr:grpSpPr>
        <a:xfrm>
          <a:off x="1247678" y="10151745"/>
          <a:ext cx="2106075" cy="1663065"/>
          <a:chOff x="1185862" y="9986963"/>
          <a:chExt cx="2033606" cy="1457325"/>
        </a:xfrm>
      </xdr:grpSpPr>
      <xdr:sp macro="" textlink="">
        <xdr:nvSpPr>
          <xdr:cNvPr id="3" name="Parallelogram 2">
            <a:extLst>
              <a:ext uri="{FF2B5EF4-FFF2-40B4-BE49-F238E27FC236}">
                <a16:creationId xmlns:a16="http://schemas.microsoft.com/office/drawing/2014/main" id="{2B96C902-5FB1-48A0-854F-A7AE8A4F56C7}"/>
              </a:ext>
            </a:extLst>
          </xdr:cNvPr>
          <xdr:cNvSpPr/>
        </xdr:nvSpPr>
        <xdr:spPr>
          <a:xfrm>
            <a:off x="1185863" y="9991725"/>
            <a:ext cx="2014537" cy="295275"/>
          </a:xfrm>
          <a:prstGeom prst="parallelogram">
            <a:avLst>
              <a:gd name="adj" fmla="val 178516"/>
            </a:avLst>
          </a:prstGeom>
          <a:noFill/>
          <a:ln w="19050"/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6" name="Parallelogram 35">
            <a:extLst>
              <a:ext uri="{FF2B5EF4-FFF2-40B4-BE49-F238E27FC236}">
                <a16:creationId xmlns:a16="http://schemas.microsoft.com/office/drawing/2014/main" id="{968C095A-7BEA-440B-AC61-88E9FCB4576E}"/>
              </a:ext>
            </a:extLst>
          </xdr:cNvPr>
          <xdr:cNvSpPr/>
        </xdr:nvSpPr>
        <xdr:spPr>
          <a:xfrm>
            <a:off x="1209675" y="11144250"/>
            <a:ext cx="2005012" cy="295275"/>
          </a:xfrm>
          <a:prstGeom prst="parallelogram">
            <a:avLst>
              <a:gd name="adj" fmla="val 174903"/>
            </a:avLst>
          </a:prstGeom>
          <a:noFill/>
          <a:ln w="19050"/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678E5915-FD6E-480A-9BB0-077F7DBD9D9D}"/>
              </a:ext>
            </a:extLst>
          </xdr:cNvPr>
          <xdr:cNvSpPr/>
        </xdr:nvSpPr>
        <xdr:spPr>
          <a:xfrm>
            <a:off x="1185862" y="10282238"/>
            <a:ext cx="1436077" cy="1162050"/>
          </a:xfrm>
          <a:prstGeom prst="rect">
            <a:avLst/>
          </a:prstGeom>
          <a:noFill/>
          <a:ln w="19050"/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8A24D58B-0A39-4D92-B770-3E4A183DF5B2}"/>
              </a:ext>
            </a:extLst>
          </xdr:cNvPr>
          <xdr:cNvSpPr/>
        </xdr:nvSpPr>
        <xdr:spPr>
          <a:xfrm>
            <a:off x="1809301" y="9986963"/>
            <a:ext cx="1410167" cy="1162050"/>
          </a:xfrm>
          <a:prstGeom prst="rect">
            <a:avLst/>
          </a:prstGeom>
          <a:noFill/>
          <a:ln w="19050"/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22</xdr:col>
      <xdr:colOff>166687</xdr:colOff>
      <xdr:row>73</xdr:row>
      <xdr:rowOff>47624</xdr:rowOff>
    </xdr:from>
    <xdr:to>
      <xdr:col>22</xdr:col>
      <xdr:colOff>371475</xdr:colOff>
      <xdr:row>78</xdr:row>
      <xdr:rowOff>76201</xdr:rowOff>
    </xdr:to>
    <xdr:sp macro="" textlink="">
      <xdr:nvSpPr>
        <xdr:cNvPr id="16" name="Right Brace 15">
          <a:extLst>
            <a:ext uri="{FF2B5EF4-FFF2-40B4-BE49-F238E27FC236}">
              <a16:creationId xmlns:a16="http://schemas.microsoft.com/office/drawing/2014/main" id="{6F893FB6-7950-47EC-B3F6-14BB65B8F51A}"/>
            </a:ext>
          </a:extLst>
        </xdr:cNvPr>
        <xdr:cNvSpPr/>
      </xdr:nvSpPr>
      <xdr:spPr>
        <a:xfrm>
          <a:off x="9801225" y="10234612"/>
          <a:ext cx="204788" cy="766764"/>
        </a:xfrm>
        <a:prstGeom prst="rightBrace">
          <a:avLst>
            <a:gd name="adj1" fmla="val 71124"/>
            <a:gd name="adj2" fmla="val 50000"/>
          </a:avLst>
        </a:prstGeom>
        <a:ln w="19050">
          <a:solidFill>
            <a:schemeClr val="accent6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B52B5-E516-41DC-ABD1-06FB530E8093}">
  <sheetPr codeName="Sheet3"/>
  <dimension ref="A1:AQ99"/>
  <sheetViews>
    <sheetView tabSelected="1" topLeftCell="A19" zoomScale="85" zoomScaleNormal="85" workbookViewId="0">
      <selection activeCell="C16" sqref="C16"/>
    </sheetView>
  </sheetViews>
  <sheetFormatPr defaultColWidth="5.578125" defaultRowHeight="11.7" x14ac:dyDescent="0.45"/>
  <cols>
    <col min="1" max="3" width="5.578125" style="48"/>
    <col min="4" max="4" width="6.26171875" style="48" customWidth="1"/>
    <col min="5" max="5" width="5.578125" style="48"/>
    <col min="6" max="6" width="5.83984375" style="48" bestFit="1" customWidth="1"/>
    <col min="7" max="8" width="5.7890625" style="48" bestFit="1" customWidth="1"/>
    <col min="9" max="9" width="6.5234375" style="48" customWidth="1"/>
    <col min="10" max="10" width="7" style="48" customWidth="1"/>
    <col min="11" max="11" width="6.26171875" style="48" bestFit="1" customWidth="1"/>
    <col min="12" max="12" width="6.3125" style="48" bestFit="1" customWidth="1"/>
    <col min="13" max="13" width="6.68359375" style="48" customWidth="1"/>
    <col min="14" max="14" width="7.7890625" style="48" customWidth="1"/>
    <col min="15" max="15" width="7.1015625" style="48" customWidth="1"/>
    <col min="16" max="16" width="6.734375" style="48" customWidth="1"/>
    <col min="17" max="17" width="5.9453125" style="48" customWidth="1"/>
    <col min="18" max="18" width="7.20703125" style="48" customWidth="1"/>
    <col min="19" max="19" width="7.41796875" style="48" customWidth="1"/>
    <col min="20" max="21" width="6.7890625" style="48" customWidth="1"/>
    <col min="22" max="22" width="6.83984375" style="48" customWidth="1"/>
    <col min="23" max="23" width="6.47265625" style="48" customWidth="1"/>
    <col min="24" max="24" width="6.1015625" style="48" customWidth="1"/>
    <col min="25" max="25" width="6" style="48" customWidth="1"/>
    <col min="26" max="31" width="5.578125" style="48"/>
    <col min="32" max="32" width="6.26171875" style="48" bestFit="1" customWidth="1"/>
    <col min="33" max="16384" width="5.578125" style="48"/>
  </cols>
  <sheetData>
    <row r="1" spans="1:43" x14ac:dyDescent="0.45">
      <c r="A1" s="45"/>
      <c r="B1" s="44" t="s">
        <v>22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  <c r="R1" s="46"/>
      <c r="S1" s="46"/>
      <c r="T1" s="46"/>
      <c r="U1" s="46"/>
      <c r="V1" s="46"/>
      <c r="W1" s="46"/>
      <c r="X1" s="46"/>
      <c r="Y1" s="46"/>
    </row>
    <row r="2" spans="1:43" x14ac:dyDescent="0.4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3" x14ac:dyDescent="0.45">
      <c r="A3" s="67"/>
      <c r="B3" s="14" t="s">
        <v>10</v>
      </c>
      <c r="C3" s="26" t="s">
        <v>18</v>
      </c>
      <c r="D3" s="27"/>
      <c r="E3" s="134">
        <v>-1</v>
      </c>
      <c r="F3" s="43" t="s">
        <v>54</v>
      </c>
      <c r="G3" s="27"/>
      <c r="H3" s="67"/>
      <c r="I3" s="26" t="s">
        <v>35</v>
      </c>
      <c r="J3" s="27"/>
      <c r="K3" s="2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</row>
    <row r="4" spans="1:43" x14ac:dyDescent="0.45">
      <c r="A4" s="67"/>
      <c r="B4" s="71" t="s">
        <v>1</v>
      </c>
      <c r="C4" s="28" t="s">
        <v>135</v>
      </c>
      <c r="D4" s="7"/>
      <c r="E4" s="40">
        <v>40</v>
      </c>
      <c r="F4" s="40">
        <v>60</v>
      </c>
      <c r="G4" s="7" t="s">
        <v>136</v>
      </c>
      <c r="H4" s="67"/>
      <c r="I4" s="28" t="s">
        <v>12</v>
      </c>
      <c r="J4" s="7"/>
      <c r="K4" s="7">
        <v>2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</row>
    <row r="5" spans="1:43" x14ac:dyDescent="0.45">
      <c r="A5" s="67"/>
      <c r="B5" s="71" t="s">
        <v>2</v>
      </c>
      <c r="C5" s="28" t="s">
        <v>134</v>
      </c>
      <c r="D5" s="7"/>
      <c r="E5" s="41">
        <v>3.5</v>
      </c>
      <c r="F5" s="41">
        <v>7</v>
      </c>
      <c r="G5" s="7" t="s">
        <v>137</v>
      </c>
      <c r="H5" s="67"/>
      <c r="I5" s="66" t="s">
        <v>29</v>
      </c>
      <c r="J5" s="67"/>
      <c r="K5" s="67">
        <f>POWER(2,__k)</f>
        <v>4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43" x14ac:dyDescent="0.45">
      <c r="A6" s="67"/>
      <c r="B6" s="71"/>
      <c r="C6" s="28"/>
      <c r="D6" s="7"/>
      <c r="E6" s="41"/>
      <c r="F6" s="41"/>
      <c r="G6" s="7"/>
      <c r="H6" s="67"/>
      <c r="I6" s="28" t="s">
        <v>13</v>
      </c>
      <c r="J6" s="7"/>
      <c r="K6" s="42">
        <v>4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1:43" x14ac:dyDescent="0.45">
      <c r="A7" s="67"/>
      <c r="B7" s="148"/>
      <c r="C7" s="66"/>
      <c r="D7" s="67"/>
      <c r="E7" s="72"/>
      <c r="F7" s="72"/>
      <c r="G7" s="67"/>
      <c r="H7" s="67"/>
      <c r="I7" s="66"/>
      <c r="J7" s="67"/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1:43" x14ac:dyDescent="0.45">
      <c r="A8" s="45"/>
      <c r="B8" s="44" t="s">
        <v>69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73"/>
      <c r="R8" s="44" t="s">
        <v>36</v>
      </c>
      <c r="S8" s="46"/>
      <c r="T8" s="46"/>
      <c r="U8" s="46"/>
      <c r="V8" s="46"/>
      <c r="W8" s="46"/>
      <c r="X8" s="46"/>
      <c r="Y8" s="46"/>
      <c r="Z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 x14ac:dyDescent="0.45">
      <c r="A9" s="47" t="s">
        <v>19</v>
      </c>
      <c r="B9" s="6" t="s">
        <v>0</v>
      </c>
      <c r="C9" s="157" t="s">
        <v>11</v>
      </c>
      <c r="D9" s="17" t="s">
        <v>1</v>
      </c>
      <c r="E9" s="17" t="s">
        <v>2</v>
      </c>
      <c r="F9" s="10">
        <v>1</v>
      </c>
      <c r="G9" s="10">
        <v>2</v>
      </c>
      <c r="H9" s="10">
        <v>3</v>
      </c>
      <c r="I9" s="10">
        <v>4</v>
      </c>
      <c r="J9" s="10">
        <f t="shared" ref="J9:N9" si="0">I9+1</f>
        <v>5</v>
      </c>
      <c r="K9" s="10">
        <f t="shared" si="0"/>
        <v>6</v>
      </c>
      <c r="L9" s="10">
        <f t="shared" si="0"/>
        <v>7</v>
      </c>
      <c r="M9" s="10">
        <f t="shared" si="0"/>
        <v>8</v>
      </c>
      <c r="N9" s="10">
        <f t="shared" si="0"/>
        <v>9</v>
      </c>
      <c r="O9" s="10" t="s">
        <v>53</v>
      </c>
      <c r="P9" s="10" t="s">
        <v>52</v>
      </c>
      <c r="Q9" s="10" t="s">
        <v>118</v>
      </c>
      <c r="R9" s="14">
        <f>MAX(R10:R21)</f>
        <v>11</v>
      </c>
      <c r="S9" s="14" t="s">
        <v>30</v>
      </c>
      <c r="T9" s="14" t="s">
        <v>31</v>
      </c>
      <c r="U9" s="14" t="s">
        <v>34</v>
      </c>
      <c r="V9" s="14" t="s">
        <v>24</v>
      </c>
      <c r="W9" s="10" t="s">
        <v>23</v>
      </c>
      <c r="X9" s="53" t="str">
        <f>r_symbol</f>
        <v>Taste</v>
      </c>
      <c r="Y9" s="10" t="str">
        <f>_xlfn.CONCAT(X9,"S")</f>
        <v>TasteS</v>
      </c>
      <c r="AE9" s="9"/>
      <c r="AF9" s="65"/>
      <c r="AG9" s="9"/>
      <c r="AH9" s="9"/>
      <c r="AI9" s="65"/>
      <c r="AJ9" s="9"/>
      <c r="AK9" s="9"/>
      <c r="AL9" s="65"/>
      <c r="AM9" s="9"/>
      <c r="AN9" s="9"/>
      <c r="AO9" s="65"/>
      <c r="AP9" s="9"/>
      <c r="AQ9" s="9"/>
    </row>
    <row r="10" spans="1:43" x14ac:dyDescent="0.45">
      <c r="A10" s="75">
        <v>3</v>
      </c>
      <c r="B10" s="5">
        <v>1</v>
      </c>
      <c r="C10" s="155" t="s">
        <v>145</v>
      </c>
      <c r="D10" s="16">
        <v>-1</v>
      </c>
      <c r="E10" s="16">
        <v>-1</v>
      </c>
      <c r="F10" s="1">
        <v>18.2</v>
      </c>
      <c r="G10" s="1">
        <v>18.899999999999999</v>
      </c>
      <c r="H10" s="1">
        <v>12.9</v>
      </c>
      <c r="I10" s="1">
        <v>14.4</v>
      </c>
      <c r="J10" s="1"/>
      <c r="K10" s="1"/>
      <c r="L10" s="1"/>
      <c r="M10" s="1"/>
      <c r="N10" s="1"/>
      <c r="O10" s="1">
        <f>SUM(F10:N10)</f>
        <v>64.399999999999991</v>
      </c>
      <c r="P10" s="1">
        <f>AVERAGE(F10:N10)</f>
        <v>16.099999999999998</v>
      </c>
      <c r="Q10" s="1">
        <f>_xlfn.STDEV.S(F10:N10)</f>
        <v>2.9086079144498038</v>
      </c>
      <c r="R10" s="76">
        <v>0</v>
      </c>
      <c r="S10" s="76">
        <f t="shared" ref="S10:S21" si="1">INT(R10/POWER(2,__k))</f>
        <v>0</v>
      </c>
      <c r="T10" s="76">
        <f t="shared" ref="T10:T21" si="2">MOD(R10,POWER(2,__k))</f>
        <v>0</v>
      </c>
      <c r="U10" s="24">
        <f t="shared" ref="U10:U21" si="3">(R10+0.5)/($R$9+1)</f>
        <v>4.1666666666666664E-2</v>
      </c>
      <c r="V10" s="24">
        <f t="shared" ref="V10:V21" si="4">_xlfn.NORM.INV(U10,0,1)</f>
        <v>-1.7316643961222451</v>
      </c>
      <c r="W10" s="77">
        <f ca="1">_xlfn.RANK.EQ(X10,$X$10:$X$21,1)-1</f>
        <v>5</v>
      </c>
      <c r="X10" s="1">
        <f t="shared" ref="X10:X21" ca="1" si="5">OFFSET($G$10,T10,S10)</f>
        <v>18.899999999999999</v>
      </c>
      <c r="Y10" s="1">
        <f ca="1">VLOOKUP(R10,$W$10:$X$21,2,FALSE)</f>
        <v>12.9</v>
      </c>
      <c r="AF10" s="15"/>
      <c r="AG10" s="30"/>
      <c r="AH10" s="78"/>
      <c r="AI10" s="15"/>
      <c r="AJ10" s="31"/>
      <c r="AK10" s="78"/>
      <c r="AL10" s="15"/>
      <c r="AM10" s="31"/>
      <c r="AN10" s="78"/>
      <c r="AO10" s="15"/>
      <c r="AP10" s="31"/>
      <c r="AQ10" s="31"/>
    </row>
    <row r="11" spans="1:43" x14ac:dyDescent="0.45">
      <c r="A11" s="75">
        <v>1</v>
      </c>
      <c r="B11" s="5">
        <v>2</v>
      </c>
      <c r="C11" s="156" t="s">
        <v>119</v>
      </c>
      <c r="D11" s="16">
        <v>1</v>
      </c>
      <c r="E11" s="16">
        <v>-1</v>
      </c>
      <c r="F11" s="1">
        <v>27.2</v>
      </c>
      <c r="G11" s="1">
        <v>24</v>
      </c>
      <c r="H11" s="1">
        <v>22.4</v>
      </c>
      <c r="I11" s="1">
        <v>22.5</v>
      </c>
      <c r="J11" s="1"/>
      <c r="K11" s="1"/>
      <c r="L11" s="1"/>
      <c r="M11" s="1"/>
      <c r="N11" s="1"/>
      <c r="O11" s="1">
        <f t="shared" ref="O11:O13" si="6">SUM(F11:N11)</f>
        <v>96.1</v>
      </c>
      <c r="P11" s="1">
        <f t="shared" ref="P11:P13" si="7">AVERAGE(F11:N11)</f>
        <v>24.024999999999999</v>
      </c>
      <c r="Q11" s="1">
        <f t="shared" ref="Q11:Q13" si="8">_xlfn.STDEV.S(F11:N11)</f>
        <v>2.2396056200441481</v>
      </c>
      <c r="R11" s="76">
        <f t="shared" ref="R11:R21" si="9">R10+1</f>
        <v>1</v>
      </c>
      <c r="S11" s="76">
        <f t="shared" si="1"/>
        <v>0</v>
      </c>
      <c r="T11" s="76">
        <f t="shared" si="2"/>
        <v>1</v>
      </c>
      <c r="U11" s="24">
        <f t="shared" si="3"/>
        <v>0.125</v>
      </c>
      <c r="V11" s="24">
        <f t="shared" si="4"/>
        <v>-1.1503493803760083</v>
      </c>
      <c r="W11" s="77">
        <f ca="1">_xlfn.RANK.EQ(X11,$X$10:$X$21,1)-1</f>
        <v>8</v>
      </c>
      <c r="X11" s="1">
        <f t="shared" ca="1" si="5"/>
        <v>24</v>
      </c>
      <c r="Y11" s="1">
        <f ca="1">VLOOKUP(R11,$W$10:$X$21,2,FALSE)</f>
        <v>14.2</v>
      </c>
      <c r="AF11" s="15"/>
      <c r="AG11" s="30"/>
      <c r="AH11" s="78"/>
      <c r="AI11" s="15"/>
      <c r="AJ11" s="31"/>
      <c r="AK11" s="78"/>
      <c r="AL11" s="15"/>
      <c r="AM11" s="31"/>
      <c r="AN11" s="78"/>
      <c r="AO11" s="15"/>
      <c r="AP11" s="31"/>
      <c r="AQ11" s="31"/>
    </row>
    <row r="12" spans="1:43" x14ac:dyDescent="0.45">
      <c r="A12" s="75">
        <v>4</v>
      </c>
      <c r="B12" s="5">
        <v>3</v>
      </c>
      <c r="C12" s="156" t="s">
        <v>68</v>
      </c>
      <c r="D12" s="16">
        <v>-1</v>
      </c>
      <c r="E12" s="16">
        <v>1</v>
      </c>
      <c r="F12" s="1">
        <v>15.9</v>
      </c>
      <c r="G12" s="1">
        <v>14.5</v>
      </c>
      <c r="H12" s="1">
        <v>15.1</v>
      </c>
      <c r="I12" s="1">
        <v>14.2</v>
      </c>
      <c r="J12" s="1"/>
      <c r="K12" s="1"/>
      <c r="L12" s="1"/>
      <c r="M12" s="1"/>
      <c r="N12" s="1"/>
      <c r="O12" s="1">
        <f t="shared" si="6"/>
        <v>59.7</v>
      </c>
      <c r="P12" s="1">
        <f t="shared" si="7"/>
        <v>14.925000000000001</v>
      </c>
      <c r="Q12" s="1">
        <f t="shared" si="8"/>
        <v>0.75000000000000033</v>
      </c>
      <c r="R12" s="76">
        <f t="shared" si="9"/>
        <v>2</v>
      </c>
      <c r="S12" s="76">
        <f t="shared" si="1"/>
        <v>0</v>
      </c>
      <c r="T12" s="76">
        <f t="shared" si="2"/>
        <v>2</v>
      </c>
      <c r="U12" s="24">
        <f t="shared" si="3"/>
        <v>0.20833333333333334</v>
      </c>
      <c r="V12" s="24">
        <f t="shared" si="4"/>
        <v>-0.81221780149991241</v>
      </c>
      <c r="W12" s="77">
        <f ca="1">_xlfn.RANK.EQ(X12,$X$10:$X$21,1)-1</f>
        <v>3</v>
      </c>
      <c r="X12" s="1">
        <f t="shared" ca="1" si="5"/>
        <v>14.5</v>
      </c>
      <c r="Y12" s="1">
        <f ca="1">VLOOKUP(R12,$W$10:$X$21,2,FALSE)</f>
        <v>14.4</v>
      </c>
      <c r="AF12" s="15"/>
      <c r="AG12" s="30"/>
      <c r="AH12" s="78"/>
      <c r="AI12" s="15"/>
      <c r="AJ12" s="31"/>
      <c r="AK12" s="78"/>
      <c r="AL12" s="15"/>
      <c r="AM12" s="31"/>
      <c r="AN12" s="78"/>
      <c r="AO12" s="15"/>
      <c r="AP12" s="31"/>
      <c r="AQ12" s="31"/>
    </row>
    <row r="13" spans="1:43" x14ac:dyDescent="0.45">
      <c r="A13" s="75">
        <v>2</v>
      </c>
      <c r="B13" s="5">
        <v>4</v>
      </c>
      <c r="C13" s="156" t="s">
        <v>121</v>
      </c>
      <c r="D13" s="16">
        <v>1</v>
      </c>
      <c r="E13" s="16">
        <v>1</v>
      </c>
      <c r="F13" s="1">
        <v>41</v>
      </c>
      <c r="G13" s="1">
        <v>43.9</v>
      </c>
      <c r="H13" s="1">
        <v>36.299999999999997</v>
      </c>
      <c r="I13" s="1">
        <v>39.9</v>
      </c>
      <c r="J13" s="1"/>
      <c r="K13" s="1"/>
      <c r="L13" s="1"/>
      <c r="M13" s="1"/>
      <c r="N13" s="1"/>
      <c r="O13" s="1">
        <f t="shared" si="6"/>
        <v>161.1</v>
      </c>
      <c r="P13" s="1">
        <f t="shared" si="7"/>
        <v>40.274999999999999</v>
      </c>
      <c r="Q13" s="1">
        <f t="shared" si="8"/>
        <v>3.1415229852201736</v>
      </c>
      <c r="R13" s="76">
        <f t="shared" si="9"/>
        <v>3</v>
      </c>
      <c r="S13" s="76">
        <f t="shared" si="1"/>
        <v>0</v>
      </c>
      <c r="T13" s="76">
        <f t="shared" si="2"/>
        <v>3</v>
      </c>
      <c r="U13" s="24">
        <f t="shared" si="3"/>
        <v>0.29166666666666669</v>
      </c>
      <c r="V13" s="24">
        <f t="shared" si="4"/>
        <v>-0.54852228269809788</v>
      </c>
      <c r="W13" s="77">
        <f ca="1">_xlfn.RANK.EQ(X13,$X$10:$X$21,1)-1</f>
        <v>11</v>
      </c>
      <c r="X13" s="1">
        <f t="shared" ca="1" si="5"/>
        <v>43.9</v>
      </c>
      <c r="Y13" s="1">
        <f ca="1">VLOOKUP(R13,$W$10:$X$21,2,FALSE)</f>
        <v>14.5</v>
      </c>
      <c r="AF13" s="15"/>
      <c r="AG13" s="30"/>
      <c r="AH13" s="78"/>
      <c r="AI13" s="15"/>
      <c r="AJ13" s="31"/>
      <c r="AK13" s="78"/>
      <c r="AL13" s="15"/>
      <c r="AM13" s="31"/>
      <c r="AN13" s="78"/>
      <c r="AO13" s="15"/>
      <c r="AP13" s="31"/>
      <c r="AQ13" s="31"/>
    </row>
    <row r="14" spans="1:43" x14ac:dyDescent="0.45">
      <c r="A14" s="148"/>
      <c r="B14" s="34"/>
      <c r="C14" s="34"/>
      <c r="D14" s="79"/>
      <c r="E14" s="79"/>
      <c r="F14" s="79"/>
      <c r="G14" s="148"/>
      <c r="H14" s="148"/>
      <c r="I14" s="148"/>
      <c r="J14" s="148"/>
      <c r="K14" s="148"/>
      <c r="L14" s="148"/>
      <c r="M14" s="148"/>
      <c r="N14" s="148"/>
      <c r="Q14" s="150"/>
      <c r="R14" s="76">
        <f t="shared" si="9"/>
        <v>4</v>
      </c>
      <c r="S14" s="76">
        <f t="shared" si="1"/>
        <v>1</v>
      </c>
      <c r="T14" s="76">
        <f t="shared" si="2"/>
        <v>0</v>
      </c>
      <c r="U14" s="24">
        <f t="shared" si="3"/>
        <v>0.375</v>
      </c>
      <c r="V14" s="24">
        <f t="shared" si="4"/>
        <v>-0.3186393639643752</v>
      </c>
      <c r="W14" s="77">
        <f ca="1">_xlfn.RANK.EQ(X14,$X$10:$X$21,1)-1</f>
        <v>0</v>
      </c>
      <c r="X14" s="1">
        <f t="shared" ca="1" si="5"/>
        <v>12.9</v>
      </c>
      <c r="Y14" s="1">
        <f ca="1">VLOOKUP(R14,$W$10:$X$21,2,FALSE)</f>
        <v>15.1</v>
      </c>
      <c r="AE14" s="78"/>
      <c r="AF14" s="15"/>
      <c r="AG14" s="30"/>
      <c r="AH14" s="78"/>
      <c r="AI14" s="15"/>
      <c r="AJ14" s="31"/>
      <c r="AK14" s="78"/>
      <c r="AL14" s="15"/>
      <c r="AM14" s="31"/>
      <c r="AN14" s="78"/>
      <c r="AO14" s="15"/>
      <c r="AP14" s="31"/>
      <c r="AQ14" s="31"/>
    </row>
    <row r="15" spans="1:43" x14ac:dyDescent="0.45">
      <c r="A15" s="150"/>
      <c r="B15" s="22" t="s">
        <v>51</v>
      </c>
      <c r="C15" s="25" t="s">
        <v>138</v>
      </c>
      <c r="D15" s="80"/>
      <c r="E15" s="80"/>
      <c r="F15" s="69"/>
      <c r="G15" s="158" t="s">
        <v>53</v>
      </c>
      <c r="H15" s="158"/>
      <c r="I15" s="35"/>
      <c r="J15" s="35"/>
      <c r="K15" s="35"/>
      <c r="L15" s="35"/>
      <c r="M15" s="35"/>
      <c r="N15" s="35"/>
      <c r="O15" s="36"/>
      <c r="P15" s="39"/>
      <c r="Q15" s="150"/>
      <c r="R15" s="76">
        <f t="shared" si="9"/>
        <v>5</v>
      </c>
      <c r="S15" s="76">
        <f t="shared" si="1"/>
        <v>1</v>
      </c>
      <c r="T15" s="76">
        <f t="shared" si="2"/>
        <v>1</v>
      </c>
      <c r="U15" s="24">
        <f t="shared" si="3"/>
        <v>0.45833333333333331</v>
      </c>
      <c r="V15" s="24">
        <f t="shared" si="4"/>
        <v>-0.10463345561407539</v>
      </c>
      <c r="W15" s="77">
        <f ca="1">_xlfn.RANK.EQ(X15,$X$10:$X$21,1)-1</f>
        <v>6</v>
      </c>
      <c r="X15" s="1">
        <f t="shared" ca="1" si="5"/>
        <v>22.4</v>
      </c>
      <c r="Y15" s="1">
        <f ca="1">VLOOKUP(R15,$W$10:$X$21,2,FALSE)</f>
        <v>18.899999999999999</v>
      </c>
      <c r="AE15" s="78"/>
      <c r="AF15" s="15"/>
      <c r="AG15" s="30"/>
      <c r="AH15" s="78"/>
      <c r="AI15" s="15"/>
      <c r="AJ15" s="31"/>
      <c r="AK15" s="78"/>
      <c r="AL15" s="15"/>
      <c r="AM15" s="31"/>
      <c r="AN15" s="78"/>
      <c r="AO15" s="15"/>
      <c r="AP15" s="31"/>
      <c r="AQ15" s="31"/>
    </row>
    <row r="16" spans="1:43" x14ac:dyDescent="0.45">
      <c r="A16" s="150"/>
      <c r="B16" s="22" t="s">
        <v>49</v>
      </c>
      <c r="C16" s="25" t="s">
        <v>138</v>
      </c>
      <c r="D16" s="80"/>
      <c r="E16" s="80"/>
      <c r="F16" s="69"/>
      <c r="G16" s="10" t="s">
        <v>52</v>
      </c>
      <c r="H16" s="35">
        <f>AVERAGE(F10:I13)</f>
        <v>23.831249999999997</v>
      </c>
      <c r="I16" s="35"/>
      <c r="J16" s="35"/>
      <c r="K16" s="35"/>
      <c r="L16" s="35"/>
      <c r="M16" s="35"/>
      <c r="N16" s="35"/>
      <c r="O16" s="36"/>
      <c r="P16" s="36"/>
      <c r="Q16" s="150"/>
      <c r="R16" s="76">
        <f t="shared" si="9"/>
        <v>6</v>
      </c>
      <c r="S16" s="76">
        <f t="shared" si="1"/>
        <v>1</v>
      </c>
      <c r="T16" s="76">
        <f t="shared" si="2"/>
        <v>2</v>
      </c>
      <c r="U16" s="24">
        <f t="shared" si="3"/>
        <v>0.54166666666666663</v>
      </c>
      <c r="V16" s="24">
        <f t="shared" si="4"/>
        <v>0.10463345561407525</v>
      </c>
      <c r="W16" s="77">
        <f ca="1">_xlfn.RANK.EQ(X16,$X$10:$X$21,1)-1</f>
        <v>4</v>
      </c>
      <c r="X16" s="1">
        <f t="shared" ca="1" si="5"/>
        <v>15.1</v>
      </c>
      <c r="Y16" s="1">
        <f ca="1">VLOOKUP(R16,$W$10:$X$21,2,FALSE)</f>
        <v>22.4</v>
      </c>
      <c r="AE16" s="78"/>
      <c r="AF16" s="15"/>
      <c r="AG16" s="30"/>
      <c r="AH16" s="78"/>
      <c r="AI16" s="15"/>
      <c r="AJ16" s="31"/>
      <c r="AK16" s="78"/>
      <c r="AL16" s="15"/>
      <c r="AM16" s="31"/>
      <c r="AN16" s="78"/>
      <c r="AO16" s="15"/>
      <c r="AP16" s="31"/>
      <c r="AQ16" s="31"/>
    </row>
    <row r="17" spans="1:43" x14ac:dyDescent="0.45">
      <c r="A17" s="150"/>
      <c r="B17" s="22" t="s">
        <v>50</v>
      </c>
      <c r="C17" s="25" t="s">
        <v>139</v>
      </c>
      <c r="D17" s="80"/>
      <c r="E17" s="80"/>
      <c r="F17" s="69"/>
      <c r="G17" s="10" t="s">
        <v>118</v>
      </c>
      <c r="H17" s="35">
        <f>_xlfn.STDEV.S(F10:I13)</f>
        <v>10.676561166093391</v>
      </c>
      <c r="I17" s="35"/>
      <c r="J17" s="35"/>
      <c r="K17" s="35"/>
      <c r="L17" s="35"/>
      <c r="M17" s="35"/>
      <c r="N17" s="35"/>
      <c r="O17" s="36"/>
      <c r="P17" s="36"/>
      <c r="Q17" s="150"/>
      <c r="R17" s="76">
        <f t="shared" si="9"/>
        <v>7</v>
      </c>
      <c r="S17" s="76">
        <f t="shared" si="1"/>
        <v>1</v>
      </c>
      <c r="T17" s="76">
        <f t="shared" si="2"/>
        <v>3</v>
      </c>
      <c r="U17" s="24">
        <f t="shared" si="3"/>
        <v>0.625</v>
      </c>
      <c r="V17" s="24">
        <f t="shared" si="4"/>
        <v>0.3186393639643752</v>
      </c>
      <c r="W17" s="77">
        <f ca="1">_xlfn.RANK.EQ(X17,$X$10:$X$21,1)-1</f>
        <v>9</v>
      </c>
      <c r="X17" s="1">
        <f t="shared" ca="1" si="5"/>
        <v>36.299999999999997</v>
      </c>
      <c r="Y17" s="1">
        <f ca="1">VLOOKUP(R17,$W$10:$X$21,2,FALSE)</f>
        <v>22.5</v>
      </c>
      <c r="AE17" s="78"/>
      <c r="AF17" s="15"/>
      <c r="AG17" s="30"/>
      <c r="AH17" s="78"/>
      <c r="AI17" s="15"/>
      <c r="AJ17" s="31"/>
      <c r="AK17" s="78"/>
      <c r="AL17" s="15"/>
      <c r="AM17" s="31"/>
      <c r="AN17" s="78"/>
      <c r="AO17" s="15"/>
      <c r="AP17" s="31"/>
      <c r="AQ17" s="31"/>
    </row>
    <row r="18" spans="1:43" x14ac:dyDescent="0.45">
      <c r="A18" s="150"/>
      <c r="B18" s="33"/>
      <c r="C18" s="34"/>
      <c r="D18" s="69"/>
      <c r="E18" s="69"/>
      <c r="F18" s="69"/>
      <c r="G18" s="35"/>
      <c r="H18" s="35"/>
      <c r="I18" s="35"/>
      <c r="J18" s="35"/>
      <c r="K18" s="35"/>
      <c r="L18" s="35"/>
      <c r="M18" s="35"/>
      <c r="N18" s="35"/>
      <c r="O18" s="36"/>
      <c r="P18" s="36"/>
      <c r="Q18" s="150"/>
      <c r="R18" s="76">
        <f t="shared" si="9"/>
        <v>8</v>
      </c>
      <c r="S18" s="76">
        <f t="shared" si="1"/>
        <v>2</v>
      </c>
      <c r="T18" s="76">
        <f t="shared" si="2"/>
        <v>0</v>
      </c>
      <c r="U18" s="24">
        <f t="shared" si="3"/>
        <v>0.70833333333333337</v>
      </c>
      <c r="V18" s="24">
        <f t="shared" si="4"/>
        <v>0.54852228269809822</v>
      </c>
      <c r="W18" s="77">
        <f ca="1">_xlfn.RANK.EQ(X18,$X$10:$X$21,1)-1</f>
        <v>2</v>
      </c>
      <c r="X18" s="1">
        <f t="shared" ca="1" si="5"/>
        <v>14.4</v>
      </c>
      <c r="Y18" s="1">
        <f ca="1">VLOOKUP(R18,$W$10:$X$21,2,FALSE)</f>
        <v>24</v>
      </c>
      <c r="AE18" s="78"/>
      <c r="AF18" s="15"/>
      <c r="AG18" s="30"/>
      <c r="AH18" s="78"/>
      <c r="AI18" s="15"/>
      <c r="AJ18" s="31"/>
      <c r="AK18" s="78"/>
      <c r="AL18" s="15"/>
      <c r="AM18" s="31"/>
      <c r="AN18" s="78"/>
      <c r="AO18" s="15"/>
      <c r="AP18" s="31"/>
      <c r="AQ18" s="31"/>
    </row>
    <row r="19" spans="1:43" x14ac:dyDescent="0.45">
      <c r="A19" s="67"/>
      <c r="B19" s="81" t="s">
        <v>83</v>
      </c>
      <c r="C19" s="82"/>
      <c r="D19" s="67"/>
      <c r="E19" s="67"/>
      <c r="F19" s="67"/>
      <c r="G19" s="67"/>
      <c r="H19" s="67"/>
      <c r="I19" s="67"/>
      <c r="J19" s="35"/>
      <c r="K19" s="35"/>
      <c r="L19" s="35"/>
      <c r="M19" s="35"/>
      <c r="N19" s="35"/>
      <c r="O19" s="36"/>
      <c r="P19" s="36"/>
      <c r="Q19" s="150"/>
      <c r="R19" s="76">
        <f t="shared" si="9"/>
        <v>9</v>
      </c>
      <c r="S19" s="76">
        <f t="shared" si="1"/>
        <v>2</v>
      </c>
      <c r="T19" s="76">
        <f t="shared" si="2"/>
        <v>1</v>
      </c>
      <c r="U19" s="24">
        <f t="shared" si="3"/>
        <v>0.79166666666666663</v>
      </c>
      <c r="V19" s="24">
        <f t="shared" si="4"/>
        <v>0.81221780149991241</v>
      </c>
      <c r="W19" s="77">
        <f ca="1">_xlfn.RANK.EQ(X19,$X$10:$X$21,1)-1</f>
        <v>7</v>
      </c>
      <c r="X19" s="1">
        <f t="shared" ca="1" si="5"/>
        <v>22.5</v>
      </c>
      <c r="Y19" s="1">
        <f ca="1">VLOOKUP(R19,$W$10:$X$21,2,FALSE)</f>
        <v>36.299999999999997</v>
      </c>
      <c r="AE19" s="78"/>
      <c r="AF19" s="15"/>
      <c r="AG19" s="30"/>
      <c r="AH19" s="78"/>
      <c r="AI19" s="15"/>
      <c r="AJ19" s="31"/>
      <c r="AK19" s="78"/>
      <c r="AL19" s="15"/>
      <c r="AM19" s="31"/>
      <c r="AN19" s="78"/>
      <c r="AO19" s="15"/>
      <c r="AP19" s="31"/>
      <c r="AQ19" s="31"/>
    </row>
    <row r="20" spans="1:43" x14ac:dyDescent="0.45">
      <c r="A20" s="83" t="s">
        <v>39</v>
      </c>
      <c r="B20" s="67" t="s">
        <v>41</v>
      </c>
      <c r="C20" s="82"/>
      <c r="D20" s="67"/>
      <c r="E20" s="67"/>
      <c r="F20" s="67"/>
      <c r="G20" s="67"/>
      <c r="H20" s="67"/>
      <c r="I20" s="67"/>
      <c r="J20" s="35"/>
      <c r="K20" s="35"/>
      <c r="L20" s="35"/>
      <c r="M20" s="35"/>
      <c r="N20" s="35"/>
      <c r="O20" s="36"/>
      <c r="P20" s="36"/>
      <c r="Q20" s="150"/>
      <c r="R20" s="76">
        <f t="shared" si="9"/>
        <v>10</v>
      </c>
      <c r="S20" s="76">
        <f t="shared" si="1"/>
        <v>2</v>
      </c>
      <c r="T20" s="76">
        <f t="shared" si="2"/>
        <v>2</v>
      </c>
      <c r="U20" s="24">
        <f t="shared" si="3"/>
        <v>0.875</v>
      </c>
      <c r="V20" s="24">
        <f t="shared" si="4"/>
        <v>1.1503493803760083</v>
      </c>
      <c r="W20" s="77">
        <f ca="1">_xlfn.RANK.EQ(X20,$X$10:$X$21,1)-1</f>
        <v>1</v>
      </c>
      <c r="X20" s="1">
        <f t="shared" ca="1" si="5"/>
        <v>14.2</v>
      </c>
      <c r="Y20" s="1">
        <f ca="1">VLOOKUP(R20,$W$10:$X$21,2,FALSE)</f>
        <v>39.9</v>
      </c>
      <c r="AE20" s="78"/>
      <c r="AF20" s="15"/>
      <c r="AG20" s="30"/>
      <c r="AH20" s="78"/>
      <c r="AI20" s="15"/>
      <c r="AJ20" s="31"/>
      <c r="AK20" s="78"/>
      <c r="AL20" s="15"/>
      <c r="AM20" s="31"/>
      <c r="AN20" s="78"/>
      <c r="AO20" s="15"/>
      <c r="AP20" s="31"/>
      <c r="AQ20" s="31"/>
    </row>
    <row r="21" spans="1:43" x14ac:dyDescent="0.45">
      <c r="A21" s="83" t="s">
        <v>39</v>
      </c>
      <c r="B21" s="67" t="s">
        <v>40</v>
      </c>
      <c r="C21" s="67"/>
      <c r="D21" s="67"/>
      <c r="E21" s="67"/>
      <c r="F21" s="67"/>
      <c r="G21" s="67"/>
      <c r="H21" s="67"/>
      <c r="I21" s="67"/>
      <c r="J21" s="35"/>
      <c r="K21" s="35"/>
      <c r="L21" s="35"/>
      <c r="M21" s="35"/>
      <c r="N21" s="35"/>
      <c r="O21" s="36"/>
      <c r="P21" s="36"/>
      <c r="Q21" s="150"/>
      <c r="R21" s="76">
        <f t="shared" si="9"/>
        <v>11</v>
      </c>
      <c r="S21" s="76">
        <f t="shared" si="1"/>
        <v>2</v>
      </c>
      <c r="T21" s="76">
        <f t="shared" si="2"/>
        <v>3</v>
      </c>
      <c r="U21" s="24">
        <f t="shared" si="3"/>
        <v>0.95833333333333337</v>
      </c>
      <c r="V21" s="24">
        <f t="shared" si="4"/>
        <v>1.7316643961222455</v>
      </c>
      <c r="W21" s="77">
        <f ca="1">_xlfn.RANK.EQ(X21,$X$10:$X$21,1)-1</f>
        <v>10</v>
      </c>
      <c r="X21" s="1">
        <f t="shared" ca="1" si="5"/>
        <v>39.9</v>
      </c>
      <c r="Y21" s="1">
        <f ca="1">VLOOKUP(R21,$W$10:$X$21,2,FALSE)</f>
        <v>43.9</v>
      </c>
      <c r="AE21" s="78"/>
      <c r="AF21" s="15"/>
      <c r="AG21" s="30"/>
      <c r="AH21" s="78"/>
      <c r="AI21" s="15"/>
      <c r="AJ21" s="31"/>
      <c r="AK21" s="78"/>
      <c r="AL21" s="15"/>
      <c r="AM21" s="31"/>
      <c r="AN21" s="78"/>
      <c r="AO21" s="15"/>
      <c r="AP21" s="31"/>
      <c r="AQ21" s="31"/>
    </row>
    <row r="22" spans="1:43" x14ac:dyDescent="0.45">
      <c r="A22" s="83" t="s">
        <v>39</v>
      </c>
      <c r="B22" s="67" t="s">
        <v>37</v>
      </c>
      <c r="C22" s="82"/>
      <c r="D22" s="67"/>
      <c r="E22" s="67"/>
      <c r="F22" s="67"/>
      <c r="G22" s="67"/>
      <c r="H22" s="67"/>
      <c r="I22" s="67"/>
      <c r="J22" s="35"/>
      <c r="K22" s="35"/>
      <c r="L22" s="35"/>
      <c r="M22" s="35"/>
      <c r="N22" s="35"/>
      <c r="O22" s="36"/>
      <c r="P22" s="36"/>
      <c r="Q22" s="67"/>
      <c r="R22" s="84"/>
      <c r="S22" s="85"/>
      <c r="T22" s="84"/>
      <c r="U22" s="84"/>
      <c r="V22" s="84"/>
      <c r="W22" s="50"/>
      <c r="X22" s="50"/>
      <c r="Y22" s="50"/>
    </row>
    <row r="23" spans="1:43" x14ac:dyDescent="0.45">
      <c r="A23" s="83"/>
      <c r="B23" s="67" t="s">
        <v>38</v>
      </c>
      <c r="C23" s="82"/>
      <c r="D23" s="67"/>
      <c r="E23" s="67"/>
      <c r="F23" s="67"/>
      <c r="G23" s="67"/>
      <c r="H23" s="67"/>
      <c r="I23" s="67"/>
      <c r="J23" s="148"/>
      <c r="K23" s="148"/>
      <c r="L23" s="148"/>
      <c r="M23" s="148"/>
      <c r="N23" s="148"/>
      <c r="O23" s="38"/>
      <c r="P23" s="38"/>
      <c r="Q23" s="67"/>
      <c r="R23" s="86"/>
      <c r="S23" s="85"/>
      <c r="T23" s="84"/>
      <c r="U23" s="84"/>
      <c r="V23" s="84"/>
      <c r="W23" s="50"/>
      <c r="X23" s="50"/>
      <c r="Y23" s="50"/>
    </row>
    <row r="24" spans="1:43" x14ac:dyDescent="0.45">
      <c r="A24" s="83" t="s">
        <v>39</v>
      </c>
      <c r="B24" s="67" t="s">
        <v>42</v>
      </c>
      <c r="C24" s="82"/>
      <c r="D24" s="67"/>
      <c r="E24" s="67"/>
      <c r="F24" s="67"/>
      <c r="G24" s="67"/>
      <c r="H24" s="67"/>
      <c r="I24" s="67"/>
      <c r="J24" s="35"/>
      <c r="K24" s="35"/>
      <c r="L24" s="35"/>
      <c r="M24" s="35"/>
      <c r="N24" s="35"/>
      <c r="O24" s="35"/>
      <c r="P24" s="39"/>
      <c r="Q24" s="83"/>
      <c r="R24" s="84"/>
      <c r="S24" s="85"/>
      <c r="T24" s="84"/>
      <c r="U24" s="84"/>
      <c r="V24" s="84"/>
      <c r="W24" s="50"/>
      <c r="X24" s="50"/>
      <c r="Y24" s="50"/>
    </row>
    <row r="25" spans="1:43" x14ac:dyDescent="0.45">
      <c r="A25" s="83" t="s">
        <v>39</v>
      </c>
      <c r="B25" s="67" t="s">
        <v>43</v>
      </c>
      <c r="C25" s="82"/>
      <c r="D25" s="67"/>
      <c r="E25" s="67"/>
      <c r="F25" s="67"/>
      <c r="G25" s="67"/>
      <c r="H25" s="67"/>
      <c r="I25" s="67"/>
      <c r="J25" s="35"/>
      <c r="K25" s="35"/>
      <c r="L25" s="35"/>
      <c r="M25" s="35"/>
      <c r="N25" s="35"/>
      <c r="O25" s="35"/>
      <c r="P25" s="36"/>
      <c r="Q25" s="83"/>
      <c r="R25" s="84"/>
      <c r="S25" s="84"/>
      <c r="T25" s="84"/>
      <c r="U25" s="84"/>
      <c r="V25" s="84"/>
      <c r="W25" s="50"/>
      <c r="X25" s="50"/>
      <c r="Y25" s="50"/>
    </row>
    <row r="26" spans="1:43" x14ac:dyDescent="0.45">
      <c r="A26" s="83" t="s">
        <v>39</v>
      </c>
      <c r="B26" s="67" t="s">
        <v>44</v>
      </c>
      <c r="C26" s="82"/>
      <c r="D26" s="67"/>
      <c r="E26" s="67"/>
      <c r="F26" s="67"/>
      <c r="G26" s="67"/>
      <c r="H26" s="67"/>
      <c r="I26" s="67"/>
      <c r="J26" s="35"/>
      <c r="K26" s="35"/>
      <c r="L26" s="35"/>
      <c r="M26" s="35"/>
      <c r="N26" s="35"/>
      <c r="O26" s="35"/>
      <c r="P26" s="36"/>
      <c r="Q26" s="83"/>
      <c r="R26" s="84"/>
      <c r="S26" s="85"/>
      <c r="T26" s="84"/>
      <c r="U26" s="84"/>
      <c r="V26" s="84"/>
      <c r="W26" s="50"/>
      <c r="X26" s="50"/>
      <c r="Y26" s="50"/>
    </row>
    <row r="27" spans="1:43" x14ac:dyDescent="0.45">
      <c r="A27" s="67"/>
      <c r="B27" s="67" t="s">
        <v>45</v>
      </c>
      <c r="C27" s="82"/>
      <c r="D27" s="67"/>
      <c r="E27" s="67"/>
      <c r="F27" s="67"/>
      <c r="G27" s="67"/>
      <c r="H27" s="67"/>
      <c r="I27" s="67"/>
      <c r="J27" s="35"/>
      <c r="K27" s="35"/>
      <c r="L27" s="35"/>
      <c r="M27" s="35"/>
      <c r="N27" s="35"/>
      <c r="O27" s="35"/>
      <c r="P27" s="36"/>
      <c r="Q27" s="83"/>
      <c r="R27" s="84"/>
      <c r="S27" s="85"/>
      <c r="T27" s="84"/>
      <c r="U27" s="84"/>
      <c r="V27" s="84"/>
      <c r="W27" s="50"/>
      <c r="X27" s="50"/>
      <c r="Y27" s="50"/>
    </row>
    <row r="28" spans="1:43" x14ac:dyDescent="0.45">
      <c r="A28" s="67"/>
      <c r="B28" s="67" t="s">
        <v>46</v>
      </c>
      <c r="C28" s="67"/>
      <c r="D28" s="67"/>
      <c r="E28" s="67"/>
      <c r="F28" s="67"/>
      <c r="G28" s="67"/>
      <c r="H28" s="67"/>
      <c r="I28" s="67"/>
      <c r="J28" s="35"/>
      <c r="K28" s="35"/>
      <c r="L28" s="35"/>
      <c r="M28" s="35"/>
      <c r="N28" s="35"/>
      <c r="O28" s="35"/>
      <c r="P28" s="36"/>
      <c r="Q28" s="83"/>
      <c r="R28" s="84"/>
      <c r="S28" s="85"/>
      <c r="T28" s="84"/>
      <c r="U28" s="84"/>
      <c r="V28" s="84"/>
      <c r="W28" s="50"/>
      <c r="X28" s="50"/>
      <c r="Y28" s="50"/>
    </row>
    <row r="29" spans="1:43" x14ac:dyDescent="0.45">
      <c r="A29" s="67"/>
      <c r="B29" s="67" t="s">
        <v>48</v>
      </c>
      <c r="C29" s="67"/>
      <c r="D29" s="67"/>
      <c r="E29" s="67"/>
      <c r="F29" s="67"/>
      <c r="G29" s="67"/>
      <c r="H29" s="67"/>
      <c r="I29" s="67"/>
      <c r="J29" s="35"/>
      <c r="K29" s="35"/>
      <c r="L29" s="35"/>
      <c r="M29" s="35"/>
      <c r="N29" s="35"/>
      <c r="O29" s="35"/>
      <c r="P29" s="36"/>
      <c r="Q29" s="83"/>
      <c r="R29" s="84"/>
      <c r="S29" s="85"/>
      <c r="T29" s="84"/>
      <c r="U29" s="84"/>
      <c r="V29" s="84"/>
      <c r="W29" s="50"/>
      <c r="X29" s="50"/>
      <c r="Y29" s="50"/>
    </row>
    <row r="30" spans="1:43" x14ac:dyDescent="0.45">
      <c r="A30" s="83" t="s">
        <v>39</v>
      </c>
      <c r="B30" s="67" t="s">
        <v>47</v>
      </c>
      <c r="C30" s="67"/>
      <c r="D30" s="67"/>
      <c r="E30" s="67"/>
      <c r="F30" s="67"/>
      <c r="G30" s="67"/>
      <c r="H30" s="67"/>
      <c r="I30" s="67"/>
      <c r="J30" s="35"/>
      <c r="K30" s="35"/>
      <c r="L30" s="35"/>
      <c r="M30" s="35"/>
      <c r="N30" s="35"/>
      <c r="O30" s="35"/>
      <c r="P30" s="36"/>
      <c r="Q30" s="83"/>
      <c r="R30" s="84"/>
      <c r="S30" s="85"/>
      <c r="T30" s="84"/>
      <c r="U30" s="84"/>
      <c r="V30" s="84"/>
      <c r="W30" s="50"/>
      <c r="X30" s="50"/>
      <c r="Y30" s="50"/>
    </row>
    <row r="31" spans="1:43" x14ac:dyDescent="0.45">
      <c r="A31" s="83"/>
      <c r="B31" s="67"/>
      <c r="C31" s="67"/>
      <c r="D31" s="67"/>
      <c r="E31" s="67"/>
      <c r="F31" s="67"/>
      <c r="G31" s="67"/>
      <c r="H31" s="67"/>
      <c r="I31" s="67"/>
      <c r="J31" s="35"/>
      <c r="K31" s="35"/>
      <c r="L31" s="35"/>
      <c r="M31" s="35"/>
      <c r="N31" s="35"/>
      <c r="O31" s="35"/>
      <c r="P31" s="36"/>
      <c r="Q31" s="83"/>
      <c r="R31" s="84" t="s">
        <v>75</v>
      </c>
      <c r="S31" s="85"/>
      <c r="T31" s="84"/>
      <c r="U31" s="84"/>
      <c r="V31" s="84"/>
      <c r="W31" s="50"/>
      <c r="X31" s="50"/>
      <c r="Y31" s="50"/>
    </row>
    <row r="32" spans="1:43" x14ac:dyDescent="0.45">
      <c r="A32" s="150"/>
      <c r="B32" s="33"/>
      <c r="C32" s="34"/>
      <c r="D32" s="69"/>
      <c r="E32" s="69"/>
      <c r="F32" s="69"/>
      <c r="G32" s="35"/>
      <c r="H32" s="35"/>
      <c r="I32" s="35"/>
      <c r="J32" s="35"/>
      <c r="K32" s="35"/>
      <c r="L32" s="35"/>
      <c r="M32" s="35"/>
      <c r="N32" s="35"/>
      <c r="O32" s="35"/>
      <c r="P32" s="36"/>
      <c r="Q32" s="67"/>
      <c r="R32" s="67"/>
      <c r="S32" s="82"/>
      <c r="T32" s="67"/>
      <c r="U32" s="67"/>
      <c r="V32" s="67"/>
      <c r="W32" s="67"/>
      <c r="X32" s="67"/>
      <c r="Y32" s="67"/>
    </row>
    <row r="33" spans="1:30" x14ac:dyDescent="0.45">
      <c r="A33" s="45"/>
      <c r="B33" s="44" t="s">
        <v>73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6"/>
      <c r="R33" s="46"/>
      <c r="S33" s="46"/>
      <c r="T33" s="46"/>
      <c r="U33" s="46"/>
      <c r="V33" s="29"/>
      <c r="W33" s="46"/>
      <c r="X33" s="46"/>
      <c r="Y33" s="46"/>
      <c r="Z33" s="8"/>
      <c r="AA33" s="52"/>
      <c r="AB33" s="8"/>
      <c r="AC33" s="8"/>
      <c r="AD33" s="8"/>
    </row>
    <row r="34" spans="1:30" x14ac:dyDescent="0.45">
      <c r="A34" s="54" t="s">
        <v>28</v>
      </c>
      <c r="B34" s="64" t="s">
        <v>15</v>
      </c>
      <c r="C34" s="157" t="s">
        <v>11</v>
      </c>
      <c r="D34" s="17" t="s">
        <v>1</v>
      </c>
      <c r="E34" s="17" t="s">
        <v>2</v>
      </c>
      <c r="F34" s="17" t="s">
        <v>3</v>
      </c>
      <c r="G34" s="53" t="s">
        <v>53</v>
      </c>
      <c r="H34" s="12" t="s">
        <v>56</v>
      </c>
      <c r="I34" s="56" t="s">
        <v>57</v>
      </c>
      <c r="J34" s="60" t="s">
        <v>55</v>
      </c>
      <c r="K34" s="12" t="s">
        <v>14</v>
      </c>
      <c r="L34" s="14" t="s">
        <v>58</v>
      </c>
      <c r="M34" s="51" t="s">
        <v>17</v>
      </c>
      <c r="N34" s="10" t="s">
        <v>61</v>
      </c>
      <c r="O34" s="10" t="s">
        <v>16</v>
      </c>
      <c r="P34" s="10" t="s">
        <v>17</v>
      </c>
      <c r="Q34" s="154" t="s">
        <v>67</v>
      </c>
      <c r="R34" s="154"/>
      <c r="S34" s="13" t="s">
        <v>126</v>
      </c>
      <c r="T34" s="67"/>
      <c r="U34" s="67"/>
      <c r="V34" s="67"/>
      <c r="W34" s="67"/>
      <c r="X34" s="67"/>
      <c r="Y34" s="67"/>
      <c r="Z34" s="8"/>
      <c r="AA34" s="9"/>
      <c r="AB34" s="9"/>
      <c r="AC34" s="9"/>
      <c r="AD34" s="9"/>
    </row>
    <row r="35" spans="1:30" x14ac:dyDescent="0.45">
      <c r="A35" s="148" t="s">
        <v>52</v>
      </c>
      <c r="B35" s="87"/>
      <c r="C35" s="155" t="s">
        <v>145</v>
      </c>
      <c r="D35" s="16">
        <v>-1</v>
      </c>
      <c r="E35" s="16">
        <v>-1</v>
      </c>
      <c r="F35" s="18">
        <f>D35*E35</f>
        <v>1</v>
      </c>
      <c r="G35" s="1">
        <f>SUM(F10:N10)</f>
        <v>64.399999999999991</v>
      </c>
      <c r="H35" s="57"/>
      <c r="I35" s="58">
        <f>2*K5</f>
        <v>8</v>
      </c>
      <c r="J35" s="61">
        <f>POWER(2,K4)*K6</f>
        <v>16</v>
      </c>
      <c r="K35" s="57"/>
      <c r="L35" s="153" t="s">
        <v>63</v>
      </c>
      <c r="M35" s="51" t="s">
        <v>60</v>
      </c>
      <c r="N35" s="10" t="s">
        <v>62</v>
      </c>
      <c r="O35" s="10" t="s">
        <v>63</v>
      </c>
      <c r="P35" s="10" t="s">
        <v>60</v>
      </c>
      <c r="Q35" s="154" t="s">
        <v>64</v>
      </c>
      <c r="R35" s="154" t="s">
        <v>65</v>
      </c>
      <c r="S35" s="21">
        <f>SUM(G35:G38)/(POWER(2,__k)*__n)</f>
        <v>23.831249999999997</v>
      </c>
      <c r="T35" s="67"/>
      <c r="U35" s="67"/>
      <c r="V35" s="67"/>
      <c r="W35" s="67"/>
      <c r="X35" s="67"/>
      <c r="Y35" s="67"/>
      <c r="Z35" s="8"/>
      <c r="AA35" s="9"/>
      <c r="AB35" s="9"/>
      <c r="AC35" s="9"/>
      <c r="AD35" s="9"/>
    </row>
    <row r="36" spans="1:30" x14ac:dyDescent="0.45">
      <c r="A36" s="169" t="s">
        <v>27</v>
      </c>
      <c r="B36" s="87">
        <v>1</v>
      </c>
      <c r="C36" s="156" t="s">
        <v>119</v>
      </c>
      <c r="D36" s="16">
        <v>1</v>
      </c>
      <c r="E36" s="16">
        <v>-1</v>
      </c>
      <c r="F36" s="18">
        <f>D36*E36</f>
        <v>-1</v>
      </c>
      <c r="G36" s="1">
        <f>SUM(F11:N11)</f>
        <v>96.1</v>
      </c>
      <c r="H36" s="2">
        <f>SUMPRODUCT(D35:D38,$G35:$G38)</f>
        <v>133.1</v>
      </c>
      <c r="I36" s="59">
        <f>H36/$I$35</f>
        <v>16.637499999999999</v>
      </c>
      <c r="J36" s="3">
        <f>H36*H36/$J$35</f>
        <v>1107.2256249999998</v>
      </c>
      <c r="K36" s="20">
        <f>M39/$B$39</f>
        <v>5.9768750000000255</v>
      </c>
      <c r="L36" s="4">
        <f>J36/K$36</f>
        <v>185.25159468785864</v>
      </c>
      <c r="M36" s="168">
        <f>_xlfn.F.DIST.RT(L36,$B36,$B$39)</f>
        <v>1.1746693237295149E-8</v>
      </c>
      <c r="N36" s="23">
        <f>SQRT(0.5*$K$36/__n)</f>
        <v>0.86435488949852257</v>
      </c>
      <c r="O36" s="23">
        <f t="shared" ref="O36:O38" si="10">I36/N36</f>
        <v>19.24845940265655</v>
      </c>
      <c r="P36" s="23">
        <f>_xlfn.T.DIST.2T(ABS(O36),$B$39)</f>
        <v>2.1802729473474928E-10</v>
      </c>
      <c r="Q36" s="19">
        <f>I36-N36*_xlfn.T.INV.2T($Q$41,$B$39)</f>
        <v>14.75423247737502</v>
      </c>
      <c r="R36" s="19">
        <f>I36+N36*_xlfn.T.INV.2T($Q$41,$B$39)</f>
        <v>18.520767522624979</v>
      </c>
      <c r="S36" s="21">
        <f>0.5*I36</f>
        <v>8.3187499999999996</v>
      </c>
      <c r="T36" s="67"/>
      <c r="U36" s="67"/>
      <c r="V36" s="67"/>
      <c r="W36" s="67"/>
      <c r="X36" s="67"/>
      <c r="Y36" s="67"/>
      <c r="Z36" s="8"/>
      <c r="AA36" s="15"/>
      <c r="AB36" s="15"/>
      <c r="AC36" s="15"/>
      <c r="AD36" s="15"/>
    </row>
    <row r="37" spans="1:30" x14ac:dyDescent="0.45">
      <c r="A37" s="169"/>
      <c r="B37" s="87">
        <v>1</v>
      </c>
      <c r="C37" s="156" t="s">
        <v>68</v>
      </c>
      <c r="D37" s="16">
        <v>-1</v>
      </c>
      <c r="E37" s="16">
        <v>1</v>
      </c>
      <c r="F37" s="18">
        <f>D37*E37</f>
        <v>-1</v>
      </c>
      <c r="G37" s="1">
        <f>SUM(F12:N12)</f>
        <v>59.7</v>
      </c>
      <c r="H37" s="2">
        <f>SUMPRODUCT(E35:E38,$G35:$G38)</f>
        <v>60.3</v>
      </c>
      <c r="I37" s="59">
        <f>H37/$I$35</f>
        <v>7.5374999999999996</v>
      </c>
      <c r="J37" s="3">
        <f>H37*H37/$J$35</f>
        <v>227.25562499999998</v>
      </c>
      <c r="K37" s="20">
        <f>K36</f>
        <v>5.9768750000000255</v>
      </c>
      <c r="L37" s="4">
        <f>J37/K$36</f>
        <v>38.022482484575804</v>
      </c>
      <c r="M37" s="168">
        <f>_xlfn.F.DIST.RT(L37,$B37,$B$39)</f>
        <v>4.8262917816927839E-5</v>
      </c>
      <c r="N37" s="23">
        <f>SQRT(0.5*$K$36/__n)</f>
        <v>0.86435488949852257</v>
      </c>
      <c r="O37" s="23">
        <f t="shared" si="10"/>
        <v>8.720376423592711</v>
      </c>
      <c r="P37" s="23">
        <f>_xlfn.T.DIST.2T(ABS(O37),$B$39)</f>
        <v>1.5388872396771348E-6</v>
      </c>
      <c r="Q37" s="19">
        <f>I37-N37*_xlfn.T.INV.2T($Q$41,$B$39)</f>
        <v>5.654232477375019</v>
      </c>
      <c r="R37" s="19">
        <f>I37+N37*_xlfn.T.INV.2T($Q$41,$B$39)</f>
        <v>9.4207675226249794</v>
      </c>
      <c r="S37" s="21">
        <f t="shared" ref="S37:S38" si="11">0.5*I37</f>
        <v>3.7687499999999998</v>
      </c>
      <c r="T37" s="67"/>
      <c r="U37" s="67"/>
      <c r="V37" s="67"/>
      <c r="W37" s="67"/>
      <c r="X37" s="67"/>
      <c r="Y37" s="67"/>
      <c r="Z37" s="8"/>
      <c r="AA37" s="15"/>
      <c r="AB37" s="15"/>
      <c r="AC37" s="15"/>
      <c r="AD37" s="15"/>
    </row>
    <row r="38" spans="1:30" x14ac:dyDescent="0.45">
      <c r="A38" s="54" t="s">
        <v>25</v>
      </c>
      <c r="B38" s="87">
        <v>1</v>
      </c>
      <c r="C38" s="156" t="s">
        <v>121</v>
      </c>
      <c r="D38" s="16">
        <v>1</v>
      </c>
      <c r="E38" s="16">
        <v>1</v>
      </c>
      <c r="F38" s="18">
        <f>D38*E38</f>
        <v>1</v>
      </c>
      <c r="G38" s="1">
        <f>SUM(F13:N13)</f>
        <v>161.1</v>
      </c>
      <c r="H38" s="2">
        <f>SUMPRODUCT(F35:F38,$G35:$G38)</f>
        <v>69.699999999999989</v>
      </c>
      <c r="I38" s="59">
        <f>H38/$I$35</f>
        <v>8.7124999999999986</v>
      </c>
      <c r="J38" s="3">
        <f>H38*H38/$J$35</f>
        <v>303.6306249999999</v>
      </c>
      <c r="K38" s="20">
        <f>K37</f>
        <v>5.9768750000000255</v>
      </c>
      <c r="L38" s="4">
        <f>J38/K$36</f>
        <v>50.800899299382806</v>
      </c>
      <c r="M38" s="168">
        <f>_xlfn.F.DIST.RT(L38,$B38,$B$39)</f>
        <v>1.2010783458952177E-5</v>
      </c>
      <c r="N38" s="23">
        <f>SQRT(0.5*$K$36/__n)</f>
        <v>0.86435488949852257</v>
      </c>
      <c r="O38" s="23">
        <f t="shared" si="10"/>
        <v>10.079771753306996</v>
      </c>
      <c r="P38" s="23">
        <f>_xlfn.T.DIST.2T(ABS(O38),$B$39)</f>
        <v>3.2864726544002811E-7</v>
      </c>
      <c r="Q38" s="19">
        <f>I38-N38*_xlfn.T.INV.2T($Q$41,$B$39)</f>
        <v>6.8292324773750179</v>
      </c>
      <c r="R38" s="19">
        <f>I38+N38*_xlfn.T.INV.2T($Q$41,$B$39)</f>
        <v>10.595767522624978</v>
      </c>
      <c r="S38" s="21">
        <f t="shared" si="11"/>
        <v>4.3562499999999993</v>
      </c>
      <c r="T38" s="67"/>
      <c r="U38" s="67"/>
      <c r="V38" s="67"/>
      <c r="W38" s="67"/>
      <c r="X38" s="67"/>
      <c r="Y38" s="67"/>
      <c r="Z38" s="8"/>
      <c r="AA38" s="15"/>
      <c r="AB38" s="15"/>
      <c r="AC38" s="15"/>
      <c r="AD38" s="15"/>
    </row>
    <row r="39" spans="1:30" s="8" customFormat="1" x14ac:dyDescent="0.45">
      <c r="A39" s="47" t="s">
        <v>59</v>
      </c>
      <c r="B39" s="49">
        <f>B40-SUM(B36:B38)</f>
        <v>12</v>
      </c>
      <c r="C39" s="122"/>
      <c r="D39" s="123"/>
      <c r="E39" s="124"/>
      <c r="F39" s="124"/>
      <c r="G39" s="125"/>
      <c r="H39" s="125"/>
      <c r="I39" s="125"/>
      <c r="J39" s="125"/>
      <c r="K39" s="126"/>
      <c r="L39" s="47"/>
      <c r="M39" s="127">
        <f>J40-SUM(J36:J38)</f>
        <v>71.722500000000309</v>
      </c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AB39" s="15"/>
      <c r="AC39" s="15"/>
      <c r="AD39" s="15"/>
    </row>
    <row r="40" spans="1:30" s="8" customFormat="1" x14ac:dyDescent="0.45">
      <c r="A40" s="64" t="s">
        <v>53</v>
      </c>
      <c r="B40" s="116">
        <f>POWER(2,__k)*__n-1</f>
        <v>15</v>
      </c>
      <c r="C40" s="117"/>
      <c r="D40" s="118"/>
      <c r="E40" s="119"/>
      <c r="F40" s="119"/>
      <c r="G40" s="119"/>
      <c r="H40" s="120"/>
      <c r="I40" s="120"/>
      <c r="J40" s="121">
        <f>DEVSQ(F10:N13)</f>
        <v>1709.8343749999999</v>
      </c>
      <c r="K40" s="67"/>
      <c r="L40" s="110" t="s">
        <v>116</v>
      </c>
      <c r="M40" s="47" t="s">
        <v>117</v>
      </c>
      <c r="N40" s="35"/>
      <c r="O40" s="35"/>
      <c r="P40" s="35"/>
      <c r="Q40" s="153" t="s">
        <v>21</v>
      </c>
      <c r="R40" s="153" t="s">
        <v>66</v>
      </c>
      <c r="S40" s="153"/>
      <c r="T40" s="67"/>
      <c r="U40" s="67"/>
      <c r="V40" s="67"/>
      <c r="W40" s="67"/>
      <c r="X40" s="67"/>
      <c r="Y40" s="67"/>
      <c r="AA40" s="15"/>
      <c r="AB40" s="15"/>
      <c r="AC40" s="15"/>
      <c r="AD40" s="15"/>
    </row>
    <row r="41" spans="1:30" s="8" customFormat="1" x14ac:dyDescent="0.45">
      <c r="A41" s="71" t="s">
        <v>115</v>
      </c>
      <c r="B41" s="7"/>
      <c r="C41" s="7"/>
      <c r="D41" s="7"/>
      <c r="E41" s="7"/>
      <c r="F41" s="7"/>
      <c r="G41" s="7"/>
      <c r="H41" s="7"/>
      <c r="I41" s="7"/>
      <c r="J41" s="32">
        <f>SUM(J36:J38)</f>
        <v>1638.1118749999996</v>
      </c>
      <c r="K41" s="67"/>
      <c r="L41" s="129">
        <f>J41/J40</f>
        <v>0.95805295469042118</v>
      </c>
      <c r="M41" s="130">
        <f>1-(M39/B39)/(J40/B40)</f>
        <v>0.9475661933630265</v>
      </c>
      <c r="N41" s="35"/>
      <c r="O41" s="35"/>
      <c r="P41" s="35"/>
      <c r="Q41" s="76">
        <v>0.05</v>
      </c>
      <c r="R41" s="152">
        <f>1-Q41</f>
        <v>0.95</v>
      </c>
      <c r="S41" s="152"/>
      <c r="T41" s="67"/>
      <c r="U41" s="67"/>
      <c r="V41" s="67"/>
      <c r="W41" s="67"/>
      <c r="X41" s="67"/>
      <c r="Y41" s="67"/>
      <c r="AA41" s="15"/>
      <c r="AB41" s="15"/>
      <c r="AC41" s="15"/>
      <c r="AD41" s="15"/>
    </row>
    <row r="42" spans="1:30" s="8" customFormat="1" x14ac:dyDescent="0.45">
      <c r="A42" s="67"/>
      <c r="B42" s="66" t="s">
        <v>83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35"/>
      <c r="Q42" s="67"/>
      <c r="R42" s="35"/>
      <c r="S42" s="35"/>
      <c r="T42" s="67"/>
      <c r="U42" s="67"/>
      <c r="V42" s="67"/>
      <c r="W42" s="67"/>
      <c r="X42" s="67"/>
      <c r="Y42" s="67"/>
      <c r="AA42" s="15"/>
      <c r="AB42" s="15"/>
      <c r="AC42" s="15"/>
      <c r="AD42" s="15"/>
    </row>
    <row r="43" spans="1:30" s="8" customFormat="1" x14ac:dyDescent="0.45">
      <c r="A43" s="109" t="s">
        <v>39</v>
      </c>
      <c r="B43" s="67" t="s">
        <v>86</v>
      </c>
      <c r="C43" s="67"/>
      <c r="D43" s="67"/>
      <c r="E43" s="67"/>
      <c r="F43" s="109" t="s">
        <v>39</v>
      </c>
      <c r="G43" s="67" t="s">
        <v>91</v>
      </c>
      <c r="H43" s="67"/>
      <c r="I43" s="67"/>
      <c r="J43" s="67"/>
      <c r="K43" s="109" t="s">
        <v>39</v>
      </c>
      <c r="L43" s="67" t="s">
        <v>94</v>
      </c>
      <c r="M43" s="67"/>
      <c r="N43" s="67"/>
      <c r="O43" s="67"/>
      <c r="P43" s="35"/>
      <c r="Q43" s="67"/>
      <c r="R43" s="35"/>
      <c r="S43" s="35"/>
      <c r="T43" s="35"/>
      <c r="U43" s="67"/>
      <c r="V43" s="149"/>
      <c r="W43" s="149"/>
      <c r="X43" s="67"/>
      <c r="Y43" s="67"/>
      <c r="AA43" s="15"/>
      <c r="AB43" s="15"/>
      <c r="AC43" s="15"/>
      <c r="AD43" s="15"/>
    </row>
    <row r="44" spans="1:30" s="8" customFormat="1" x14ac:dyDescent="0.45">
      <c r="A44" s="83"/>
      <c r="B44" s="67" t="s">
        <v>87</v>
      </c>
      <c r="C44" s="67"/>
      <c r="D44" s="67"/>
      <c r="E44" s="67"/>
      <c r="F44" s="83"/>
      <c r="G44" s="67" t="s">
        <v>92</v>
      </c>
      <c r="H44" s="67"/>
      <c r="I44" s="67"/>
      <c r="J44" s="67"/>
      <c r="K44" s="109" t="s">
        <v>39</v>
      </c>
      <c r="L44" s="67" t="s">
        <v>95</v>
      </c>
      <c r="M44" s="67"/>
      <c r="N44" s="67"/>
      <c r="O44" s="67"/>
      <c r="P44" s="35"/>
      <c r="Q44" s="67"/>
      <c r="R44" s="35"/>
      <c r="S44" s="35"/>
      <c r="T44" s="35"/>
      <c r="U44" s="67"/>
      <c r="V44" s="149"/>
      <c r="W44" s="149"/>
      <c r="X44" s="67"/>
      <c r="Y44" s="67"/>
      <c r="AA44" s="15"/>
      <c r="AB44" s="15"/>
      <c r="AC44" s="15"/>
      <c r="AD44" s="15"/>
    </row>
    <row r="45" spans="1:30" s="8" customFormat="1" x14ac:dyDescent="0.45">
      <c r="A45" s="109" t="s">
        <v>39</v>
      </c>
      <c r="B45" s="67" t="s">
        <v>88</v>
      </c>
      <c r="C45" s="67"/>
      <c r="D45" s="67"/>
      <c r="E45" s="67"/>
      <c r="F45" s="67"/>
      <c r="G45" s="67" t="s">
        <v>93</v>
      </c>
      <c r="H45" s="67"/>
      <c r="I45" s="67"/>
      <c r="J45" s="67"/>
      <c r="K45" s="109" t="s">
        <v>39</v>
      </c>
      <c r="L45" s="67" t="s">
        <v>96</v>
      </c>
      <c r="M45" s="67"/>
      <c r="N45" s="67"/>
      <c r="O45" s="67"/>
      <c r="P45" s="35"/>
      <c r="Q45" s="67"/>
      <c r="R45" s="35"/>
      <c r="S45" s="35"/>
      <c r="T45" s="35"/>
      <c r="U45" s="67"/>
      <c r="V45" s="149"/>
      <c r="W45" s="149"/>
      <c r="X45" s="67"/>
      <c r="Y45" s="67"/>
      <c r="AA45" s="15"/>
      <c r="AB45" s="15"/>
      <c r="AC45" s="15"/>
      <c r="AD45" s="15"/>
    </row>
    <row r="46" spans="1:30" s="8" customFormat="1" x14ac:dyDescent="0.45">
      <c r="A46" s="83"/>
      <c r="B46" s="67" t="s">
        <v>90</v>
      </c>
      <c r="C46" s="67"/>
      <c r="D46" s="67"/>
      <c r="E46" s="67"/>
      <c r="F46" s="109" t="s">
        <v>39</v>
      </c>
      <c r="G46" s="67" t="s">
        <v>84</v>
      </c>
      <c r="H46" s="67"/>
      <c r="I46" s="67"/>
      <c r="J46" s="67"/>
      <c r="K46" s="109" t="s">
        <v>39</v>
      </c>
      <c r="L46" s="67" t="s">
        <v>97</v>
      </c>
      <c r="M46" s="67"/>
      <c r="N46" s="67"/>
      <c r="O46" s="67"/>
      <c r="P46" s="35"/>
      <c r="Q46" s="67"/>
      <c r="R46" s="35"/>
      <c r="S46" s="35"/>
      <c r="T46" s="35"/>
      <c r="U46" s="67"/>
      <c r="V46" s="149"/>
      <c r="W46" s="149"/>
      <c r="X46" s="67"/>
      <c r="Y46" s="67"/>
      <c r="AA46" s="15"/>
      <c r="AB46" s="15"/>
      <c r="AC46" s="15"/>
      <c r="AD46" s="15"/>
    </row>
    <row r="47" spans="1:30" s="8" customFormat="1" x14ac:dyDescent="0.45">
      <c r="A47" s="83"/>
      <c r="B47" s="67" t="s">
        <v>89</v>
      </c>
      <c r="C47" s="67"/>
      <c r="D47" s="67"/>
      <c r="E47" s="67"/>
      <c r="F47" s="83"/>
      <c r="G47" s="67" t="s">
        <v>85</v>
      </c>
      <c r="H47" s="67"/>
      <c r="I47" s="67"/>
      <c r="J47" s="67"/>
      <c r="K47" s="109" t="s">
        <v>39</v>
      </c>
      <c r="L47" s="67" t="s">
        <v>98</v>
      </c>
      <c r="M47" s="67"/>
      <c r="N47" s="67"/>
      <c r="O47" s="67"/>
      <c r="P47" s="35"/>
      <c r="Q47" s="67"/>
      <c r="R47" s="35"/>
      <c r="S47" s="35"/>
      <c r="T47" s="35"/>
      <c r="U47" s="67"/>
      <c r="V47" s="149"/>
      <c r="W47" s="149"/>
      <c r="X47" s="67"/>
      <c r="Y47" s="67"/>
      <c r="AA47" s="15"/>
      <c r="AB47" s="15"/>
      <c r="AC47" s="15"/>
      <c r="AD47" s="15"/>
    </row>
    <row r="48" spans="1:30" s="8" customFormat="1" x14ac:dyDescent="0.45">
      <c r="A48" s="88"/>
      <c r="B48" s="67"/>
      <c r="C48" s="33"/>
      <c r="D48" s="34"/>
      <c r="E48" s="69"/>
      <c r="F48" s="69"/>
      <c r="G48" s="69"/>
      <c r="H48" s="70"/>
      <c r="I48" s="70"/>
      <c r="J48" s="70"/>
      <c r="K48" s="70"/>
      <c r="L48" s="35"/>
      <c r="M48" s="67"/>
      <c r="N48" s="67"/>
      <c r="O48" s="35"/>
      <c r="P48" s="35"/>
      <c r="Q48" s="35"/>
      <c r="R48" s="35"/>
      <c r="S48" s="35"/>
      <c r="T48" s="35"/>
      <c r="U48" s="67"/>
      <c r="V48" s="149"/>
      <c r="W48" s="149"/>
      <c r="X48" s="67"/>
      <c r="Y48" s="67"/>
      <c r="AA48" s="15"/>
      <c r="AB48" s="15"/>
      <c r="AC48" s="15"/>
      <c r="AD48" s="15"/>
    </row>
    <row r="49" spans="1:25" x14ac:dyDescent="0.45">
      <c r="A49" s="45"/>
      <c r="B49" s="44" t="s">
        <v>74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x14ac:dyDescent="0.45">
      <c r="A50" s="148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148"/>
      <c r="M50" s="67"/>
      <c r="N50" s="148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</row>
    <row r="51" spans="1:25" x14ac:dyDescent="0.45">
      <c r="A51" s="67"/>
      <c r="B51" s="67"/>
      <c r="C51" s="67"/>
      <c r="E51" s="89">
        <v>0</v>
      </c>
      <c r="F51" s="89">
        <v>1</v>
      </c>
      <c r="G51" s="89">
        <v>2</v>
      </c>
      <c r="H51" s="89"/>
      <c r="I51" s="89"/>
      <c r="J51" s="89"/>
      <c r="K51" s="89"/>
      <c r="L51" s="148"/>
      <c r="M51" s="67"/>
      <c r="N51" s="148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</row>
    <row r="52" spans="1:25" x14ac:dyDescent="0.45">
      <c r="A52" s="89"/>
      <c r="B52" s="67"/>
      <c r="C52" s="67"/>
      <c r="D52" s="151" t="s">
        <v>52</v>
      </c>
      <c r="E52" s="166" t="s">
        <v>76</v>
      </c>
      <c r="F52" s="166"/>
      <c r="G52" s="170" t="s">
        <v>25</v>
      </c>
      <c r="H52" s="89"/>
      <c r="I52" s="89"/>
      <c r="J52" s="89"/>
      <c r="K52" s="89"/>
      <c r="L52" s="148"/>
      <c r="M52" s="135"/>
      <c r="N52" s="136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x14ac:dyDescent="0.45">
      <c r="A53" s="89"/>
      <c r="B53" s="67"/>
      <c r="C53" s="67"/>
      <c r="D53" s="148" t="s">
        <v>39</v>
      </c>
      <c r="E53" s="148" t="s">
        <v>119</v>
      </c>
      <c r="F53" s="148" t="s">
        <v>68</v>
      </c>
      <c r="G53" s="148" t="s">
        <v>121</v>
      </c>
      <c r="H53" s="89"/>
      <c r="I53" s="89"/>
      <c r="J53" s="89"/>
      <c r="K53" s="89"/>
      <c r="L53" s="148"/>
      <c r="M53" s="67"/>
      <c r="N53" s="148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</row>
    <row r="54" spans="1:25" x14ac:dyDescent="0.45">
      <c r="A54" s="89"/>
      <c r="B54" s="38" t="s">
        <v>81</v>
      </c>
      <c r="C54" s="67"/>
      <c r="D54" s="149">
        <f>AVERAGE(G10:N13)</f>
        <v>23.249999999999996</v>
      </c>
      <c r="E54" s="149">
        <f ca="1">0.5*OFFSET($I$36,E$51,$A52)</f>
        <v>8.3187499999999996</v>
      </c>
      <c r="F54" s="149">
        <f ca="1">0.5*OFFSET($I$36,F$51,$A52)</f>
        <v>3.7687499999999998</v>
      </c>
      <c r="G54" s="149">
        <f ca="1">0.5*OFFSET($I$36,G$51,$A52)</f>
        <v>4.3562499999999993</v>
      </c>
      <c r="H54" s="89"/>
      <c r="I54" s="89"/>
      <c r="J54" s="89"/>
      <c r="K54" s="89"/>
      <c r="L54" s="148"/>
      <c r="M54" s="67"/>
      <c r="N54" s="67"/>
      <c r="P54" s="148" t="str">
        <f>f_a</f>
        <v>Weight</v>
      </c>
      <c r="Q54" s="150"/>
      <c r="R54" s="67"/>
      <c r="S54" s="142" t="s">
        <v>129</v>
      </c>
      <c r="T54" s="142" t="s">
        <v>130</v>
      </c>
      <c r="U54" s="143"/>
      <c r="V54" s="142" t="s">
        <v>128</v>
      </c>
      <c r="W54" s="67"/>
      <c r="X54" s="159" t="s">
        <v>79</v>
      </c>
      <c r="Y54" s="159"/>
    </row>
    <row r="55" spans="1:25" x14ac:dyDescent="0.45">
      <c r="A55" s="89"/>
      <c r="B55" s="148"/>
      <c r="C55" s="67"/>
      <c r="D55" s="103"/>
      <c r="E55" s="103"/>
      <c r="F55" s="103"/>
      <c r="G55" s="103"/>
      <c r="H55" s="103"/>
      <c r="I55" s="103"/>
      <c r="J55" s="103"/>
      <c r="K55" s="67"/>
      <c r="L55" s="148"/>
      <c r="M55" s="148"/>
      <c r="N55" s="67"/>
      <c r="O55" s="66" t="s">
        <v>70</v>
      </c>
      <c r="P55" s="150">
        <v>-1</v>
      </c>
      <c r="Q55" s="104"/>
      <c r="R55" s="67"/>
      <c r="S55" s="144">
        <f>f_a_min</f>
        <v>40</v>
      </c>
      <c r="T55" s="144">
        <f>f_a_max</f>
        <v>60</v>
      </c>
      <c r="U55" s="143"/>
      <c r="V55" s="144">
        <f>( f_a_max - f_a_min ) * ( 0.5 * ( A_ + 1 ) ) + f_a_min</f>
        <v>40</v>
      </c>
      <c r="W55" s="67"/>
      <c r="X55" s="67"/>
      <c r="Y55" s="67"/>
    </row>
    <row r="56" spans="1:25" x14ac:dyDescent="0.45">
      <c r="A56" s="89"/>
      <c r="B56" s="38" t="s">
        <v>80</v>
      </c>
      <c r="C56" s="89"/>
      <c r="D56" s="107" t="s">
        <v>140</v>
      </c>
      <c r="E56" s="89"/>
      <c r="F56" s="89"/>
      <c r="G56" s="89"/>
      <c r="H56" s="89"/>
      <c r="I56" s="89"/>
      <c r="J56" s="89"/>
      <c r="K56" s="89"/>
      <c r="M56" s="148" t="s">
        <v>127</v>
      </c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159" t="str">
        <f>r_name</f>
        <v>Taste</v>
      </c>
      <c r="Y56" s="159"/>
    </row>
    <row r="57" spans="1:25" x14ac:dyDescent="0.45">
      <c r="A57" s="89"/>
      <c r="C57" s="107"/>
      <c r="D57" s="107"/>
      <c r="E57" s="107"/>
      <c r="F57" s="107"/>
      <c r="G57" s="107"/>
      <c r="H57" s="107"/>
      <c r="I57" s="107"/>
      <c r="J57" s="107"/>
      <c r="K57" s="67"/>
      <c r="L57" s="67"/>
      <c r="M57" s="148" t="s">
        <v>78</v>
      </c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160">
        <f ca="1">_o+_a*A_+_b*B_+_ab*A_*B_</f>
        <v>14.343749999999996</v>
      </c>
      <c r="Y57" s="160"/>
    </row>
    <row r="58" spans="1:25" ht="15.6" x14ac:dyDescent="0.6">
      <c r="A58" s="67"/>
      <c r="B58" s="67"/>
      <c r="C58" s="173" t="s">
        <v>141</v>
      </c>
      <c r="D58" s="67"/>
      <c r="E58" s="67"/>
      <c r="F58" s="67"/>
      <c r="G58" s="67"/>
      <c r="H58" s="67"/>
      <c r="I58" s="174" t="s">
        <v>144</v>
      </c>
      <c r="J58" s="67"/>
      <c r="K58" s="67"/>
      <c r="L58" s="67"/>
      <c r="M58" s="67"/>
      <c r="N58" s="67"/>
      <c r="P58" s="148" t="str">
        <f>f_b</f>
        <v>Time</v>
      </c>
      <c r="Q58" s="150"/>
      <c r="R58" s="67"/>
      <c r="S58" s="144"/>
      <c r="T58" s="144"/>
      <c r="U58" s="145"/>
      <c r="V58" s="146"/>
      <c r="W58" s="67"/>
      <c r="X58" s="161" t="str">
        <f>r_units</f>
        <v>N/A</v>
      </c>
      <c r="Y58" s="161"/>
    </row>
    <row r="59" spans="1:25" x14ac:dyDescent="0.45">
      <c r="A59" s="67"/>
      <c r="B59" s="67"/>
      <c r="C59" s="150">
        <f>f_b_max</f>
        <v>7</v>
      </c>
      <c r="D59" s="165"/>
      <c r="E59" s="165"/>
      <c r="F59" s="165"/>
      <c r="G59" s="67"/>
      <c r="H59" s="165"/>
      <c r="I59" s="165"/>
      <c r="J59" s="165"/>
      <c r="K59" s="67"/>
      <c r="L59" s="67"/>
      <c r="M59" s="89"/>
      <c r="N59" s="67"/>
      <c r="O59" s="66" t="s">
        <v>71</v>
      </c>
      <c r="P59" s="150">
        <v>1</v>
      </c>
      <c r="Q59" s="150"/>
      <c r="R59" s="67"/>
      <c r="S59" s="144">
        <f>f_b_min</f>
        <v>3.5</v>
      </c>
      <c r="T59" s="144">
        <f>f_b_max</f>
        <v>7</v>
      </c>
      <c r="U59" s="143"/>
      <c r="V59" s="144">
        <f>( f_b_max - f_b_min ) * ( 0.5 * ( B_ + 1 ) ) + f_b_min</f>
        <v>7</v>
      </c>
      <c r="W59" s="67"/>
      <c r="X59" s="67"/>
      <c r="Y59" s="67"/>
    </row>
    <row r="60" spans="1:25" x14ac:dyDescent="0.45">
      <c r="A60" s="67"/>
      <c r="B60" s="67"/>
      <c r="C60" s="104" t="s">
        <v>54</v>
      </c>
      <c r="D60" s="172">
        <f ca="1">_o-_a+_b-_ab</f>
        <v>14.343749999999996</v>
      </c>
      <c r="E60" s="102"/>
      <c r="F60" s="67"/>
      <c r="G60" s="67"/>
      <c r="H60" s="172">
        <f ca="1">_o+_a+_b+_ab</f>
        <v>39.693749999999994</v>
      </c>
      <c r="I60" s="102"/>
      <c r="J60" s="67"/>
      <c r="K60" s="67"/>
      <c r="L60" s="67"/>
      <c r="M60" s="109"/>
      <c r="N60" s="38"/>
      <c r="O60" s="103"/>
      <c r="P60" s="67"/>
      <c r="Q60" s="67"/>
      <c r="R60" s="67"/>
      <c r="S60" s="67"/>
      <c r="T60" s="67"/>
      <c r="U60" s="67"/>
      <c r="V60" s="67"/>
      <c r="W60" s="67"/>
      <c r="X60" s="67"/>
      <c r="Y60" s="67"/>
    </row>
    <row r="61" spans="1:25" x14ac:dyDescent="0.45">
      <c r="A61" s="67"/>
      <c r="B61" s="67"/>
      <c r="E61" s="67"/>
      <c r="F61" s="67"/>
      <c r="G61" s="67"/>
      <c r="H61" s="67"/>
      <c r="I61" s="67"/>
      <c r="J61" s="67"/>
      <c r="K61" s="67"/>
      <c r="L61" s="67"/>
      <c r="M61" s="109"/>
      <c r="N61" s="115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</row>
    <row r="62" spans="1:25" x14ac:dyDescent="0.45">
      <c r="A62" s="67"/>
      <c r="B62" s="67"/>
      <c r="C62" s="150"/>
      <c r="D62" s="67"/>
      <c r="E62" s="67"/>
      <c r="F62" s="67"/>
      <c r="G62" s="67"/>
      <c r="H62" s="67"/>
      <c r="I62" s="67"/>
      <c r="J62" s="67"/>
      <c r="K62" s="67"/>
      <c r="L62" s="67"/>
      <c r="M62" s="109"/>
      <c r="N62" s="115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</row>
    <row r="63" spans="1:25" x14ac:dyDescent="0.45">
      <c r="A63" s="67"/>
      <c r="B63" s="137"/>
      <c r="C63" s="151"/>
      <c r="D63" s="137"/>
      <c r="E63" s="67"/>
      <c r="F63" s="67"/>
      <c r="G63" s="67"/>
      <c r="H63" s="67"/>
      <c r="I63" s="67"/>
      <c r="J63" s="67"/>
      <c r="K63" s="67"/>
      <c r="L63" s="67"/>
      <c r="M63" s="135"/>
      <c r="N63" s="136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x14ac:dyDescent="0.45">
      <c r="A64" s="67"/>
      <c r="B64" s="67"/>
      <c r="C64" s="102"/>
      <c r="D64" s="67"/>
      <c r="F64" s="137"/>
      <c r="G64" s="137"/>
      <c r="H64" s="151"/>
      <c r="I64" s="66"/>
      <c r="J64" s="66"/>
      <c r="K64" s="67"/>
      <c r="L64" s="67"/>
      <c r="M64" s="109"/>
      <c r="N64" s="115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</row>
    <row r="65" spans="1:33" x14ac:dyDescent="0.45">
      <c r="A65" s="67"/>
      <c r="B65" s="67"/>
      <c r="C65" s="148" t="s">
        <v>2</v>
      </c>
      <c r="D65" s="67"/>
      <c r="E65" s="67"/>
      <c r="F65" s="175" t="str">
        <f>X56</f>
        <v>Taste</v>
      </c>
      <c r="G65" s="67"/>
      <c r="H65" s="102"/>
      <c r="I65" s="67"/>
      <c r="J65" s="67"/>
      <c r="K65" s="67"/>
      <c r="L65" s="67"/>
      <c r="M65" s="109"/>
      <c r="N65" s="115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</row>
    <row r="66" spans="1:33" x14ac:dyDescent="0.45">
      <c r="A66" s="67"/>
      <c r="B66" s="66"/>
      <c r="C66" s="150" t="str">
        <f>f_b</f>
        <v>Time</v>
      </c>
      <c r="D66" s="67"/>
      <c r="E66" s="67"/>
      <c r="F66" s="67"/>
      <c r="G66" s="67"/>
      <c r="H66" s="67"/>
      <c r="I66" s="67"/>
      <c r="J66" s="67"/>
      <c r="K66" s="67"/>
      <c r="L66" s="67"/>
      <c r="M66" s="109"/>
      <c r="N66" s="115"/>
      <c r="O66" s="67"/>
      <c r="P66" s="38" t="str">
        <f>f_a</f>
        <v>Weight</v>
      </c>
      <c r="Q66" s="66"/>
      <c r="R66" s="67"/>
      <c r="S66" s="148" t="s">
        <v>129</v>
      </c>
      <c r="T66" s="148" t="s">
        <v>130</v>
      </c>
      <c r="V66" s="142" t="s">
        <v>127</v>
      </c>
      <c r="W66" s="67"/>
      <c r="X66" s="159" t="s">
        <v>79</v>
      </c>
      <c r="Y66" s="159"/>
    </row>
    <row r="67" spans="1:33" x14ac:dyDescent="0.45">
      <c r="A67" s="67"/>
      <c r="B67" s="66"/>
      <c r="C67" s="148" t="str">
        <f>f_a_units</f>
        <v>g</v>
      </c>
      <c r="D67" s="67"/>
      <c r="E67" s="67"/>
      <c r="F67" s="67"/>
      <c r="G67" s="67"/>
      <c r="H67" s="67"/>
      <c r="I67" s="67"/>
      <c r="J67" s="67"/>
      <c r="K67" s="67"/>
      <c r="L67" s="67"/>
      <c r="M67" s="109"/>
      <c r="N67" s="115"/>
      <c r="O67" s="66" t="s">
        <v>70</v>
      </c>
      <c r="P67" s="35">
        <v>40</v>
      </c>
      <c r="Q67" s="67" t="str">
        <f>f_a_units</f>
        <v>g</v>
      </c>
      <c r="R67" s="67"/>
      <c r="S67" s="35">
        <f>f_a_min</f>
        <v>40</v>
      </c>
      <c r="T67" s="35">
        <f>f_a_max</f>
        <v>60</v>
      </c>
      <c r="U67" s="66"/>
      <c r="V67" s="138">
        <f>2 * ( P67 - f_a_min ) / ( f_a_max - f_a_min ) - 1</f>
        <v>-1</v>
      </c>
      <c r="W67" s="67"/>
      <c r="X67" s="67"/>
      <c r="Y67" s="67"/>
    </row>
    <row r="68" spans="1:33" x14ac:dyDescent="0.45">
      <c r="A68" s="67"/>
      <c r="B68" s="67"/>
      <c r="C68" s="148"/>
      <c r="D68" s="67"/>
      <c r="E68" s="165"/>
      <c r="F68" s="165"/>
      <c r="G68" s="165"/>
      <c r="H68" s="159"/>
      <c r="I68" s="159"/>
      <c r="J68" s="159"/>
      <c r="K68" s="67"/>
      <c r="L68" s="67"/>
      <c r="M68" s="148" t="s">
        <v>128</v>
      </c>
      <c r="N68" s="115"/>
      <c r="O68" s="115"/>
      <c r="P68" s="115"/>
      <c r="Q68" s="115"/>
      <c r="R68" s="115"/>
      <c r="S68" s="115"/>
      <c r="T68" s="115"/>
      <c r="U68" s="115"/>
      <c r="V68" s="115"/>
      <c r="W68" s="67"/>
      <c r="X68" s="159" t="str">
        <f>r_name</f>
        <v>Taste</v>
      </c>
      <c r="Y68" s="159"/>
    </row>
    <row r="69" spans="1:33" x14ac:dyDescent="0.45">
      <c r="A69" s="67"/>
      <c r="B69" s="67"/>
      <c r="C69" s="150"/>
      <c r="D69" s="67"/>
      <c r="E69" s="67"/>
      <c r="F69" s="102"/>
      <c r="G69" s="67"/>
      <c r="H69" s="67"/>
      <c r="I69" s="102"/>
      <c r="J69" s="102"/>
      <c r="K69" s="67"/>
      <c r="L69" s="67"/>
      <c r="M69" s="148" t="s">
        <v>78</v>
      </c>
      <c r="N69" s="115"/>
      <c r="O69" s="115"/>
      <c r="P69" s="115"/>
      <c r="Q69" s="115"/>
      <c r="R69" s="115"/>
      <c r="S69" s="115"/>
      <c r="T69" s="115"/>
      <c r="U69" s="115"/>
      <c r="V69" s="115"/>
      <c r="W69" s="67"/>
      <c r="X69" s="160">
        <f ca="1">_o+_a*A__+_b*B__+_ab*A__*B__</f>
        <v>15.518749999999997</v>
      </c>
      <c r="Y69" s="160"/>
    </row>
    <row r="70" spans="1:33" x14ac:dyDescent="0.45">
      <c r="A70" s="67"/>
      <c r="B70" s="67"/>
      <c r="C70" s="150"/>
      <c r="D70" s="67"/>
      <c r="E70" s="67"/>
      <c r="F70" s="67"/>
      <c r="G70" s="67"/>
      <c r="H70" s="67"/>
      <c r="I70" s="67"/>
      <c r="J70" s="67"/>
      <c r="K70" s="67"/>
      <c r="L70" s="67"/>
      <c r="M70" s="109"/>
      <c r="N70" s="115"/>
      <c r="P70" s="38" t="str">
        <f>f_b</f>
        <v>Time</v>
      </c>
      <c r="Q70" s="67"/>
      <c r="R70" s="67"/>
      <c r="S70" s="35"/>
      <c r="T70" s="35"/>
      <c r="U70" s="67"/>
      <c r="V70" s="143"/>
      <c r="W70" s="67"/>
      <c r="X70" s="161" t="str">
        <f>r_units</f>
        <v>N/A</v>
      </c>
      <c r="Y70" s="161"/>
    </row>
    <row r="71" spans="1:33" x14ac:dyDescent="0.45">
      <c r="A71" s="67"/>
      <c r="B71" s="67"/>
      <c r="C71" s="150">
        <f>f_b_min</f>
        <v>3.5</v>
      </c>
      <c r="D71" s="172">
        <f ca="1">_o-_a-_b+_ab</f>
        <v>15.518749999999997</v>
      </c>
      <c r="E71" s="67"/>
      <c r="F71" s="67"/>
      <c r="G71" s="67"/>
      <c r="H71" s="172">
        <f ca="1">_o+_a-_b-_ab</f>
        <v>23.443749999999994</v>
      </c>
      <c r="I71" s="148"/>
      <c r="J71" s="67"/>
      <c r="K71" s="67"/>
      <c r="L71" s="67"/>
      <c r="M71" s="109"/>
      <c r="N71" s="115"/>
      <c r="O71" s="66" t="s">
        <v>71</v>
      </c>
      <c r="P71" s="35">
        <v>3.5</v>
      </c>
      <c r="Q71" s="67" t="str">
        <f>f_b_units</f>
        <v>sec</v>
      </c>
      <c r="R71" s="67"/>
      <c r="S71" s="35">
        <f>f_b_min</f>
        <v>3.5</v>
      </c>
      <c r="T71" s="35">
        <f>f_b_max</f>
        <v>7</v>
      </c>
      <c r="U71" s="67"/>
      <c r="V71" s="138">
        <f>2 * ( P71 - f_b_min ) / ( f_b_max - f_b_min ) - 1</f>
        <v>-1</v>
      </c>
      <c r="W71" s="67"/>
      <c r="X71" s="67"/>
      <c r="Y71" s="67"/>
    </row>
    <row r="72" spans="1:33" x14ac:dyDescent="0.45">
      <c r="A72" s="67"/>
      <c r="B72" s="67"/>
      <c r="C72" s="171">
        <v>-1</v>
      </c>
      <c r="D72" s="67"/>
      <c r="E72" s="67"/>
      <c r="F72" s="67"/>
      <c r="G72" s="67"/>
      <c r="H72" s="67"/>
      <c r="I72" s="148"/>
      <c r="J72" s="67"/>
      <c r="K72" s="67"/>
      <c r="L72" s="67"/>
      <c r="M72" s="109"/>
      <c r="N72" s="115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</row>
    <row r="73" spans="1:33" ht="14.4" x14ac:dyDescent="0.55000000000000004">
      <c r="A73" s="67"/>
      <c r="B73" s="137"/>
      <c r="C73" s="174" t="s">
        <v>142</v>
      </c>
      <c r="D73" s="151">
        <f>f_a_min</f>
        <v>40</v>
      </c>
      <c r="E73" s="128"/>
      <c r="F73" s="151" t="s">
        <v>1</v>
      </c>
      <c r="G73" s="151"/>
      <c r="H73" s="151">
        <f>f_a_max</f>
        <v>60</v>
      </c>
      <c r="I73" s="174" t="s">
        <v>143</v>
      </c>
      <c r="J73" s="67"/>
      <c r="K73" s="67"/>
      <c r="L73" s="67"/>
      <c r="M73" s="109"/>
      <c r="N73" s="115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</row>
    <row r="74" spans="1:33" x14ac:dyDescent="0.45">
      <c r="A74" s="67"/>
      <c r="B74" s="67"/>
      <c r="C74" s="102"/>
      <c r="D74" s="150">
        <v>-1</v>
      </c>
      <c r="E74" s="148"/>
      <c r="F74" s="150" t="str">
        <f>f_a</f>
        <v>Weight</v>
      </c>
      <c r="G74" s="102"/>
      <c r="H74" s="104" t="s">
        <v>54</v>
      </c>
      <c r="I74" s="67"/>
      <c r="J74" s="67"/>
      <c r="K74" s="67"/>
      <c r="L74" s="67"/>
      <c r="M74" s="109"/>
      <c r="N74" s="115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</row>
    <row r="75" spans="1:33" x14ac:dyDescent="0.45">
      <c r="A75" s="67"/>
      <c r="B75" s="67"/>
      <c r="C75" s="102"/>
      <c r="D75" s="67"/>
      <c r="E75" s="148"/>
      <c r="F75" s="67"/>
      <c r="G75" s="102"/>
      <c r="H75" s="67"/>
      <c r="I75" s="67"/>
      <c r="J75" s="67"/>
      <c r="K75" s="67"/>
      <c r="L75" s="67"/>
      <c r="M75" s="109"/>
      <c r="N75" s="115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</row>
    <row r="76" spans="1:33" x14ac:dyDescent="0.45">
      <c r="A76" s="67"/>
      <c r="B76" s="67"/>
      <c r="C76" s="67"/>
      <c r="D76" s="67"/>
      <c r="E76" s="67"/>
      <c r="F76" s="67"/>
      <c r="G76" s="67"/>
      <c r="H76" s="150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</row>
    <row r="77" spans="1:33" x14ac:dyDescent="0.45">
      <c r="A77" s="45"/>
      <c r="B77" s="44" t="s">
        <v>82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97"/>
      <c r="AA77" s="97"/>
      <c r="AB77" s="97"/>
      <c r="AC77" s="97"/>
      <c r="AD77" s="97"/>
      <c r="AE77" s="97"/>
      <c r="AF77" s="97"/>
      <c r="AG77" s="97"/>
    </row>
    <row r="78" spans="1:33" x14ac:dyDescent="0.45">
      <c r="A78" s="89">
        <f>MAX(A79:A94)+1</f>
        <v>12</v>
      </c>
      <c r="B78" s="89" t="s">
        <v>30</v>
      </c>
      <c r="C78" s="89" t="s">
        <v>31</v>
      </c>
      <c r="D78" s="89" t="s">
        <v>34</v>
      </c>
      <c r="E78" s="89" t="s">
        <v>24</v>
      </c>
      <c r="F78" s="51" t="s">
        <v>1</v>
      </c>
      <c r="G78" s="90" t="s">
        <v>2</v>
      </c>
      <c r="H78" s="53" t="str">
        <f>r_symbol</f>
        <v>Taste</v>
      </c>
      <c r="I78" s="91" t="str">
        <f>_xlfn.CONCAT(H78,"*")</f>
        <v>Taste*</v>
      </c>
      <c r="J78" s="92" t="s">
        <v>23</v>
      </c>
      <c r="K78" s="93" t="str">
        <f>_xlfn.CONCAT("R",H78)</f>
        <v>RTaste</v>
      </c>
      <c r="L78" s="92" t="s">
        <v>32</v>
      </c>
      <c r="N78" s="151"/>
      <c r="O78" s="111"/>
      <c r="P78" s="112"/>
      <c r="Q78" s="112"/>
      <c r="R78" s="112"/>
      <c r="S78" s="151"/>
      <c r="T78" s="111"/>
      <c r="U78" s="113"/>
      <c r="V78" s="112"/>
      <c r="W78" s="112"/>
      <c r="X78" s="151"/>
      <c r="Y78" s="111"/>
      <c r="Z78" s="100"/>
      <c r="AA78" s="99"/>
      <c r="AB78" s="99"/>
      <c r="AC78" s="65"/>
      <c r="AD78" s="98"/>
      <c r="AE78" s="100"/>
      <c r="AF78" s="99"/>
      <c r="AG78" s="99"/>
    </row>
    <row r="79" spans="1:33" x14ac:dyDescent="0.45">
      <c r="A79" s="89">
        <v>0</v>
      </c>
      <c r="B79" s="89">
        <f t="shared" ref="B79:B90" si="12">INT(A79/POWER(2,__k))</f>
        <v>0</v>
      </c>
      <c r="C79" s="89">
        <f t="shared" ref="C79:C90" si="13">MOD(A79,POWER(2,__k))</f>
        <v>0</v>
      </c>
      <c r="D79" s="105">
        <f>(A79+0.5)/$A$78</f>
        <v>4.1666666666666664E-2</v>
      </c>
      <c r="E79" s="105">
        <f>_xlfn.NORM.INV(D79,0,1)</f>
        <v>-1.7316643961222451</v>
      </c>
      <c r="F79" s="16">
        <f t="shared" ref="F79:F90" ca="1" si="14">OFFSET($G$10,C79,-3)</f>
        <v>-1</v>
      </c>
      <c r="G79" s="16">
        <f t="shared" ref="G79:G90" ca="1" si="15">OFFSET($G$10,C79,-2)</f>
        <v>-1</v>
      </c>
      <c r="H79" s="1">
        <f ca="1">OFFSET($G$10,C79,B79)</f>
        <v>18.899999999999999</v>
      </c>
      <c r="I79" s="23">
        <f ca="1">_o+_a*F79+_b*G79+_ab*F79*G79</f>
        <v>15.518749999999997</v>
      </c>
      <c r="J79" s="94">
        <f ca="1">_xlfn.RANK.EQ(K79,K$79:K$94,1)-1</f>
        <v>10</v>
      </c>
      <c r="K79" s="95">
        <f ca="1">H79-I79</f>
        <v>3.3812500000000014</v>
      </c>
      <c r="L79" s="95">
        <f ca="1">VLOOKUP(A79,J$79:K$90,2,FALSE)</f>
        <v>-3.3937499999999972</v>
      </c>
      <c r="N79" s="35"/>
      <c r="O79" s="149"/>
      <c r="P79" s="114"/>
      <c r="Q79" s="149"/>
      <c r="R79" s="149"/>
      <c r="S79" s="35"/>
      <c r="T79" s="149"/>
      <c r="U79" s="114"/>
      <c r="V79" s="149"/>
      <c r="W79" s="149"/>
      <c r="X79" s="149"/>
      <c r="Y79" s="149"/>
      <c r="Z79" s="78"/>
      <c r="AA79" s="30"/>
      <c r="AB79" s="30"/>
      <c r="AC79" s="30"/>
      <c r="AD79" s="30"/>
      <c r="AE79" s="78"/>
      <c r="AF79" s="30"/>
      <c r="AG79" s="30"/>
    </row>
    <row r="80" spans="1:33" x14ac:dyDescent="0.45">
      <c r="A80" s="89">
        <f>A79+1</f>
        <v>1</v>
      </c>
      <c r="B80" s="89">
        <f t="shared" si="12"/>
        <v>0</v>
      </c>
      <c r="C80" s="89">
        <f t="shared" si="13"/>
        <v>1</v>
      </c>
      <c r="D80" s="105">
        <f t="shared" ref="D80:D90" si="16">(A80+0.5)/$A$78</f>
        <v>0.125</v>
      </c>
      <c r="E80" s="105">
        <f t="shared" ref="E80:E90" si="17">_xlfn.NORM.INV(D80,0,1)</f>
        <v>-1.1503493803760083</v>
      </c>
      <c r="F80" s="16">
        <f t="shared" ca="1" si="14"/>
        <v>1</v>
      </c>
      <c r="G80" s="16">
        <f t="shared" ca="1" si="15"/>
        <v>-1</v>
      </c>
      <c r="H80" s="1">
        <f ca="1">OFFSET($G$10,C80,B80)</f>
        <v>24</v>
      </c>
      <c r="I80" s="23">
        <f ca="1">_o+_a*F80+_b*G80+_ab*F80*G80</f>
        <v>23.443749999999994</v>
      </c>
      <c r="J80" s="94">
        <f ca="1">_xlfn.RANK.EQ(K80,K$79:K$94,1)-1</f>
        <v>8</v>
      </c>
      <c r="K80" s="95">
        <f ca="1">H80-I80</f>
        <v>0.55625000000000568</v>
      </c>
      <c r="L80" s="95">
        <f t="shared" ref="L80:L90" ca="1" si="18">VLOOKUP(A80,J$79:K$90,2,FALSE)</f>
        <v>-2.6187499999999968</v>
      </c>
      <c r="N80" s="35"/>
      <c r="O80" s="149"/>
      <c r="P80" s="114"/>
      <c r="Q80" s="149"/>
      <c r="R80" s="149"/>
      <c r="S80" s="35"/>
      <c r="T80" s="149"/>
      <c r="U80" s="114"/>
      <c r="V80" s="149"/>
      <c r="W80" s="149"/>
      <c r="X80" s="149"/>
      <c r="Y80" s="149"/>
      <c r="Z80" s="78"/>
      <c r="AA80" s="30"/>
      <c r="AB80" s="30"/>
      <c r="AC80" s="30"/>
      <c r="AD80" s="30"/>
      <c r="AE80" s="78"/>
      <c r="AF80" s="30"/>
      <c r="AG80" s="30"/>
    </row>
    <row r="81" spans="1:33" x14ac:dyDescent="0.45">
      <c r="A81" s="89">
        <f t="shared" ref="A81:A90" si="19">A80+1</f>
        <v>2</v>
      </c>
      <c r="B81" s="89">
        <f t="shared" si="12"/>
        <v>0</v>
      </c>
      <c r="C81" s="89">
        <f t="shared" si="13"/>
        <v>2</v>
      </c>
      <c r="D81" s="105">
        <f t="shared" si="16"/>
        <v>0.20833333333333334</v>
      </c>
      <c r="E81" s="105">
        <f t="shared" si="17"/>
        <v>-0.81221780149991241</v>
      </c>
      <c r="F81" s="16">
        <f t="shared" ca="1" si="14"/>
        <v>-1</v>
      </c>
      <c r="G81" s="16">
        <f t="shared" ca="1" si="15"/>
        <v>1</v>
      </c>
      <c r="H81" s="1">
        <f ca="1">OFFSET($G$10,C81,B81)</f>
        <v>14.5</v>
      </c>
      <c r="I81" s="23">
        <f ca="1">_o+_a*F81+_b*G81+_ab*F81*G81</f>
        <v>14.343749999999996</v>
      </c>
      <c r="J81" s="94">
        <f ca="1">_xlfn.RANK.EQ(K81,K$79:K$94,1)-1</f>
        <v>6</v>
      </c>
      <c r="K81" s="95">
        <f ca="1">H81-I81</f>
        <v>0.15625000000000355</v>
      </c>
      <c r="L81" s="95">
        <f t="shared" ca="1" si="18"/>
        <v>-1.1187499999999968</v>
      </c>
      <c r="N81" s="35"/>
      <c r="O81" s="149"/>
      <c r="P81" s="114"/>
      <c r="Q81" s="149"/>
      <c r="R81" s="149"/>
      <c r="S81" s="35"/>
      <c r="T81" s="149"/>
      <c r="U81" s="114"/>
      <c r="V81" s="149"/>
      <c r="W81" s="149"/>
      <c r="X81" s="149"/>
      <c r="Y81" s="149"/>
      <c r="Z81" s="78"/>
      <c r="AA81" s="30"/>
      <c r="AB81" s="30"/>
      <c r="AC81" s="30"/>
      <c r="AD81" s="30"/>
      <c r="AE81" s="78"/>
      <c r="AF81" s="30"/>
      <c r="AG81" s="30"/>
    </row>
    <row r="82" spans="1:33" x14ac:dyDescent="0.45">
      <c r="A82" s="89">
        <f t="shared" si="19"/>
        <v>3</v>
      </c>
      <c r="B82" s="89">
        <f t="shared" si="12"/>
        <v>0</v>
      </c>
      <c r="C82" s="89">
        <f t="shared" si="13"/>
        <v>3</v>
      </c>
      <c r="D82" s="105">
        <f t="shared" si="16"/>
        <v>0.29166666666666669</v>
      </c>
      <c r="E82" s="105">
        <f t="shared" si="17"/>
        <v>-0.54852228269809788</v>
      </c>
      <c r="F82" s="16">
        <f t="shared" ca="1" si="14"/>
        <v>1</v>
      </c>
      <c r="G82" s="16">
        <f t="shared" ca="1" si="15"/>
        <v>1</v>
      </c>
      <c r="H82" s="1">
        <f ca="1">OFFSET($G$10,C82,B82)</f>
        <v>43.9</v>
      </c>
      <c r="I82" s="23">
        <f ca="1">_o+_a*F82+_b*G82+_ab*F82*G82</f>
        <v>39.693749999999994</v>
      </c>
      <c r="J82" s="94">
        <f ca="1">_xlfn.RANK.EQ(K82,K$79:K$94,1)-1</f>
        <v>11</v>
      </c>
      <c r="K82" s="95">
        <f ca="1">H82-I82</f>
        <v>4.2062500000000043</v>
      </c>
      <c r="L82" s="95">
        <f t="shared" ca="1" si="18"/>
        <v>-1.0437499999999957</v>
      </c>
      <c r="N82" s="35"/>
      <c r="O82" s="149"/>
      <c r="P82" s="114"/>
      <c r="Q82" s="149"/>
      <c r="R82" s="149"/>
      <c r="S82" s="35"/>
      <c r="T82" s="149"/>
      <c r="U82" s="114"/>
      <c r="V82" s="149"/>
      <c r="W82" s="149"/>
      <c r="X82" s="149"/>
      <c r="Y82" s="149"/>
      <c r="Z82" s="78"/>
      <c r="AA82" s="30"/>
      <c r="AB82" s="30"/>
      <c r="AC82" s="30"/>
      <c r="AD82" s="30"/>
      <c r="AE82" s="78"/>
      <c r="AF82" s="30"/>
      <c r="AG82" s="30"/>
    </row>
    <row r="83" spans="1:33" x14ac:dyDescent="0.45">
      <c r="A83" s="89">
        <f t="shared" si="19"/>
        <v>4</v>
      </c>
      <c r="B83" s="89">
        <f t="shared" si="12"/>
        <v>1</v>
      </c>
      <c r="C83" s="89">
        <f t="shared" si="13"/>
        <v>0</v>
      </c>
      <c r="D83" s="105">
        <f t="shared" si="16"/>
        <v>0.375</v>
      </c>
      <c r="E83" s="105">
        <f t="shared" si="17"/>
        <v>-0.3186393639643752</v>
      </c>
      <c r="F83" s="16">
        <f t="shared" ca="1" si="14"/>
        <v>-1</v>
      </c>
      <c r="G83" s="16">
        <f t="shared" ca="1" si="15"/>
        <v>-1</v>
      </c>
      <c r="H83" s="1">
        <f ca="1">OFFSET($G$10,C83,B83)</f>
        <v>12.9</v>
      </c>
      <c r="I83" s="23">
        <f ca="1">_o+_a*F83+_b*G83+_ab*F83*G83</f>
        <v>15.518749999999997</v>
      </c>
      <c r="J83" s="94">
        <f ca="1">_xlfn.RANK.EQ(K83,K$79:K$94,1)-1</f>
        <v>1</v>
      </c>
      <c r="K83" s="95">
        <f ca="1">H83-I83</f>
        <v>-2.6187499999999968</v>
      </c>
      <c r="L83" s="95">
        <f t="shared" ca="1" si="18"/>
        <v>-0.94374999999999432</v>
      </c>
      <c r="N83" s="35"/>
      <c r="O83" s="149"/>
      <c r="P83" s="114"/>
      <c r="Q83" s="149"/>
      <c r="R83" s="149"/>
      <c r="S83" s="35"/>
      <c r="T83" s="149"/>
      <c r="U83" s="114"/>
      <c r="V83" s="149"/>
      <c r="W83" s="149"/>
      <c r="X83" s="149"/>
      <c r="Y83" s="149"/>
      <c r="Z83" s="78"/>
      <c r="AA83" s="30"/>
      <c r="AB83" s="30"/>
      <c r="AC83" s="30"/>
      <c r="AD83" s="30"/>
      <c r="AE83" s="78"/>
      <c r="AF83" s="30"/>
      <c r="AG83" s="30"/>
    </row>
    <row r="84" spans="1:33" x14ac:dyDescent="0.45">
      <c r="A84" s="89">
        <f t="shared" si="19"/>
        <v>5</v>
      </c>
      <c r="B84" s="89">
        <f t="shared" si="12"/>
        <v>1</v>
      </c>
      <c r="C84" s="89">
        <f t="shared" si="13"/>
        <v>1</v>
      </c>
      <c r="D84" s="105">
        <f t="shared" si="16"/>
        <v>0.45833333333333331</v>
      </c>
      <c r="E84" s="105">
        <f t="shared" si="17"/>
        <v>-0.10463345561407539</v>
      </c>
      <c r="F84" s="16">
        <f t="shared" ca="1" si="14"/>
        <v>1</v>
      </c>
      <c r="G84" s="16">
        <f t="shared" ca="1" si="15"/>
        <v>-1</v>
      </c>
      <c r="H84" s="1">
        <f ca="1">OFFSET($G$10,C84,B84)</f>
        <v>22.4</v>
      </c>
      <c r="I84" s="23">
        <f ca="1">_o+_a*F84+_b*G84+_ab*F84*G84</f>
        <v>23.443749999999994</v>
      </c>
      <c r="J84" s="94">
        <f ca="1">_xlfn.RANK.EQ(K84,K$79:K$94,1)-1</f>
        <v>3</v>
      </c>
      <c r="K84" s="95">
        <f ca="1">H84-I84</f>
        <v>-1.0437499999999957</v>
      </c>
      <c r="L84" s="95">
        <f t="shared" ca="1" si="18"/>
        <v>-0.14374999999999716</v>
      </c>
      <c r="N84" s="35"/>
      <c r="O84" s="149"/>
      <c r="P84" s="114"/>
      <c r="Q84" s="149"/>
      <c r="R84" s="149"/>
      <c r="S84" s="35"/>
      <c r="T84" s="149"/>
      <c r="U84" s="114"/>
      <c r="V84" s="149"/>
      <c r="W84" s="149"/>
      <c r="X84" s="149"/>
      <c r="Y84" s="149"/>
      <c r="Z84" s="78"/>
      <c r="AA84" s="30"/>
      <c r="AB84" s="30"/>
      <c r="AC84" s="30"/>
      <c r="AD84" s="30"/>
      <c r="AE84" s="78"/>
      <c r="AF84" s="30"/>
      <c r="AG84" s="30"/>
    </row>
    <row r="85" spans="1:33" x14ac:dyDescent="0.45">
      <c r="A85" s="89">
        <f t="shared" si="19"/>
        <v>6</v>
      </c>
      <c r="B85" s="89">
        <f t="shared" si="12"/>
        <v>1</v>
      </c>
      <c r="C85" s="89">
        <f t="shared" si="13"/>
        <v>2</v>
      </c>
      <c r="D85" s="105">
        <f t="shared" si="16"/>
        <v>0.54166666666666663</v>
      </c>
      <c r="E85" s="105">
        <f t="shared" si="17"/>
        <v>0.10463345561407525</v>
      </c>
      <c r="F85" s="16">
        <f t="shared" ca="1" si="14"/>
        <v>-1</v>
      </c>
      <c r="G85" s="16">
        <f t="shared" ca="1" si="15"/>
        <v>1</v>
      </c>
      <c r="H85" s="1">
        <f ca="1">OFFSET($G$10,C85,B85)</f>
        <v>15.1</v>
      </c>
      <c r="I85" s="23">
        <f ca="1">_o+_a*F85+_b*G85+_ab*F85*G85</f>
        <v>14.343749999999996</v>
      </c>
      <c r="J85" s="94">
        <f ca="1">_xlfn.RANK.EQ(K85,K$79:K$94,1)-1</f>
        <v>9</v>
      </c>
      <c r="K85" s="95">
        <f ca="1">H85-I85</f>
        <v>0.7562500000000032</v>
      </c>
      <c r="L85" s="95">
        <f t="shared" ca="1" si="18"/>
        <v>0.15625000000000355</v>
      </c>
      <c r="N85" s="35"/>
      <c r="O85" s="149"/>
      <c r="P85" s="114"/>
      <c r="Q85" s="149"/>
      <c r="R85" s="149"/>
      <c r="S85" s="35"/>
      <c r="T85" s="149"/>
      <c r="U85" s="114"/>
      <c r="V85" s="149"/>
      <c r="W85" s="149"/>
      <c r="X85" s="149"/>
      <c r="Y85" s="149"/>
      <c r="Z85" s="78"/>
      <c r="AA85" s="30"/>
      <c r="AB85" s="30"/>
      <c r="AC85" s="30"/>
      <c r="AD85" s="30"/>
      <c r="AE85" s="78"/>
      <c r="AF85" s="30"/>
      <c r="AG85" s="30"/>
    </row>
    <row r="86" spans="1:33" x14ac:dyDescent="0.45">
      <c r="A86" s="89">
        <f t="shared" si="19"/>
        <v>7</v>
      </c>
      <c r="B86" s="89">
        <f t="shared" si="12"/>
        <v>1</v>
      </c>
      <c r="C86" s="89">
        <f t="shared" si="13"/>
        <v>3</v>
      </c>
      <c r="D86" s="105">
        <f t="shared" si="16"/>
        <v>0.625</v>
      </c>
      <c r="E86" s="105">
        <f t="shared" si="17"/>
        <v>0.3186393639643752</v>
      </c>
      <c r="F86" s="16">
        <f t="shared" ca="1" si="14"/>
        <v>1</v>
      </c>
      <c r="G86" s="16">
        <f t="shared" ca="1" si="15"/>
        <v>1</v>
      </c>
      <c r="H86" s="1">
        <f ca="1">OFFSET($G$10,C86,B86)</f>
        <v>36.299999999999997</v>
      </c>
      <c r="I86" s="23">
        <f ca="1">_o+_a*F86+_b*G86+_ab*F86*G86</f>
        <v>39.693749999999994</v>
      </c>
      <c r="J86" s="94">
        <f ca="1">_xlfn.RANK.EQ(K86,K$79:K$94,1)-1</f>
        <v>0</v>
      </c>
      <c r="K86" s="95">
        <f ca="1">H86-I86</f>
        <v>-3.3937499999999972</v>
      </c>
      <c r="L86" s="95">
        <f t="shared" ca="1" si="18"/>
        <v>0.20625000000000426</v>
      </c>
      <c r="N86" s="35"/>
      <c r="O86" s="149"/>
      <c r="P86" s="114"/>
      <c r="Q86" s="149"/>
      <c r="R86" s="149"/>
      <c r="S86" s="35"/>
      <c r="T86" s="149"/>
      <c r="U86" s="114"/>
      <c r="V86" s="149"/>
      <c r="W86" s="149"/>
      <c r="X86" s="149"/>
      <c r="Y86" s="149"/>
      <c r="Z86" s="78"/>
      <c r="AA86" s="30"/>
      <c r="AB86" s="30"/>
      <c r="AC86" s="30"/>
      <c r="AD86" s="30"/>
      <c r="AE86" s="78"/>
      <c r="AF86" s="30"/>
      <c r="AG86" s="30"/>
    </row>
    <row r="87" spans="1:33" x14ac:dyDescent="0.45">
      <c r="A87" s="89">
        <f t="shared" si="19"/>
        <v>8</v>
      </c>
      <c r="B87" s="89">
        <f t="shared" si="12"/>
        <v>2</v>
      </c>
      <c r="C87" s="89">
        <f t="shared" si="13"/>
        <v>0</v>
      </c>
      <c r="D87" s="105">
        <f t="shared" si="16"/>
        <v>0.70833333333333337</v>
      </c>
      <c r="E87" s="105">
        <f t="shared" si="17"/>
        <v>0.54852228269809822</v>
      </c>
      <c r="F87" s="16">
        <f t="shared" ca="1" si="14"/>
        <v>-1</v>
      </c>
      <c r="G87" s="16">
        <f t="shared" ca="1" si="15"/>
        <v>-1</v>
      </c>
      <c r="H87" s="1">
        <f ca="1">OFFSET($G$10,C87,B87)</f>
        <v>14.4</v>
      </c>
      <c r="I87" s="23">
        <f ca="1">_o+_a*F87+_b*G87+_ab*F87*G87</f>
        <v>15.518749999999997</v>
      </c>
      <c r="J87" s="94">
        <f ca="1">_xlfn.RANK.EQ(K87,K$79:K$94,1)-1</f>
        <v>2</v>
      </c>
      <c r="K87" s="95">
        <f ca="1">H87-I87</f>
        <v>-1.1187499999999968</v>
      </c>
      <c r="L87" s="95">
        <f t="shared" ca="1" si="18"/>
        <v>0.55625000000000568</v>
      </c>
      <c r="N87" s="35"/>
      <c r="O87" s="149"/>
      <c r="P87" s="114"/>
      <c r="Q87" s="149"/>
      <c r="R87" s="149"/>
      <c r="S87" s="35"/>
      <c r="T87" s="149"/>
      <c r="U87" s="114"/>
      <c r="V87" s="149"/>
      <c r="W87" s="149"/>
      <c r="X87" s="149"/>
      <c r="Y87" s="149"/>
      <c r="Z87" s="78"/>
      <c r="AA87" s="30"/>
      <c r="AB87" s="30"/>
      <c r="AC87" s="30"/>
      <c r="AD87" s="30"/>
      <c r="AE87" s="78"/>
      <c r="AF87" s="30"/>
      <c r="AG87" s="30"/>
    </row>
    <row r="88" spans="1:33" x14ac:dyDescent="0.45">
      <c r="A88" s="89">
        <f t="shared" si="19"/>
        <v>9</v>
      </c>
      <c r="B88" s="89">
        <f t="shared" si="12"/>
        <v>2</v>
      </c>
      <c r="C88" s="89">
        <f t="shared" si="13"/>
        <v>1</v>
      </c>
      <c r="D88" s="105">
        <f t="shared" si="16"/>
        <v>0.79166666666666663</v>
      </c>
      <c r="E88" s="105">
        <f t="shared" si="17"/>
        <v>0.81221780149991241</v>
      </c>
      <c r="F88" s="16">
        <f t="shared" ca="1" si="14"/>
        <v>1</v>
      </c>
      <c r="G88" s="16">
        <f t="shared" ca="1" si="15"/>
        <v>-1</v>
      </c>
      <c r="H88" s="1">
        <f ca="1">OFFSET($G$10,C88,B88)</f>
        <v>22.5</v>
      </c>
      <c r="I88" s="23">
        <f ca="1">_o+_a*F88+_b*G88+_ab*F88*G88</f>
        <v>23.443749999999994</v>
      </c>
      <c r="J88" s="94">
        <f ca="1">_xlfn.RANK.EQ(K88,K$79:K$94,1)-1</f>
        <v>4</v>
      </c>
      <c r="K88" s="95">
        <f ca="1">H88-I88</f>
        <v>-0.94374999999999432</v>
      </c>
      <c r="L88" s="95">
        <f t="shared" ca="1" si="18"/>
        <v>0.7562500000000032</v>
      </c>
      <c r="N88" s="35"/>
      <c r="O88" s="149"/>
      <c r="P88" s="114"/>
      <c r="Q88" s="149"/>
      <c r="R88" s="149"/>
      <c r="S88" s="35"/>
      <c r="T88" s="149"/>
      <c r="U88" s="114"/>
      <c r="V88" s="149"/>
      <c r="W88" s="149"/>
      <c r="X88" s="149"/>
      <c r="Y88" s="149"/>
      <c r="Z88" s="78"/>
      <c r="AA88" s="30"/>
      <c r="AB88" s="30"/>
      <c r="AC88" s="30"/>
      <c r="AD88" s="30"/>
      <c r="AE88" s="78"/>
      <c r="AF88" s="30"/>
      <c r="AG88" s="30"/>
    </row>
    <row r="89" spans="1:33" x14ac:dyDescent="0.45">
      <c r="A89" s="89">
        <f t="shared" si="19"/>
        <v>10</v>
      </c>
      <c r="B89" s="89">
        <f t="shared" si="12"/>
        <v>2</v>
      </c>
      <c r="C89" s="89">
        <f t="shared" si="13"/>
        <v>2</v>
      </c>
      <c r="D89" s="105">
        <f t="shared" si="16"/>
        <v>0.875</v>
      </c>
      <c r="E89" s="105">
        <f t="shared" si="17"/>
        <v>1.1503493803760083</v>
      </c>
      <c r="F89" s="16">
        <f t="shared" ca="1" si="14"/>
        <v>-1</v>
      </c>
      <c r="G89" s="16">
        <f t="shared" ca="1" si="15"/>
        <v>1</v>
      </c>
      <c r="H89" s="1">
        <f ca="1">OFFSET($G$10,C89,B89)</f>
        <v>14.2</v>
      </c>
      <c r="I89" s="23">
        <f ca="1">_o+_a*F89+_b*G89+_ab*F89*G89</f>
        <v>14.343749999999996</v>
      </c>
      <c r="J89" s="94">
        <f ca="1">_xlfn.RANK.EQ(K89,K$79:K$94,1)-1</f>
        <v>5</v>
      </c>
      <c r="K89" s="95">
        <f ca="1">H89-I89</f>
        <v>-0.14374999999999716</v>
      </c>
      <c r="L89" s="95">
        <f t="shared" ca="1" si="18"/>
        <v>3.3812500000000014</v>
      </c>
      <c r="N89" s="35"/>
      <c r="O89" s="149"/>
      <c r="P89" s="114"/>
      <c r="Q89" s="149"/>
      <c r="R89" s="149"/>
      <c r="S89" s="35"/>
      <c r="T89" s="149"/>
      <c r="U89" s="114"/>
      <c r="V89" s="149"/>
      <c r="W89" s="149"/>
      <c r="X89" s="149"/>
      <c r="Y89" s="149"/>
      <c r="Z89" s="78"/>
      <c r="AA89" s="30"/>
      <c r="AB89" s="30"/>
      <c r="AC89" s="30"/>
      <c r="AD89" s="30"/>
      <c r="AE89" s="78"/>
      <c r="AF89" s="30"/>
      <c r="AG89" s="30"/>
    </row>
    <row r="90" spans="1:33" x14ac:dyDescent="0.45">
      <c r="A90" s="89">
        <f t="shared" si="19"/>
        <v>11</v>
      </c>
      <c r="B90" s="89">
        <f t="shared" si="12"/>
        <v>2</v>
      </c>
      <c r="C90" s="89">
        <f t="shared" si="13"/>
        <v>3</v>
      </c>
      <c r="D90" s="105">
        <f t="shared" si="16"/>
        <v>0.95833333333333337</v>
      </c>
      <c r="E90" s="105">
        <f t="shared" si="17"/>
        <v>1.7316643961222455</v>
      </c>
      <c r="F90" s="16">
        <f t="shared" ca="1" si="14"/>
        <v>1</v>
      </c>
      <c r="G90" s="16">
        <f t="shared" ca="1" si="15"/>
        <v>1</v>
      </c>
      <c r="H90" s="1">
        <f ca="1">OFFSET($G$10,C90,B90)</f>
        <v>39.9</v>
      </c>
      <c r="I90" s="23">
        <f ca="1">_o+_a*F90+_b*G90+_ab*F90*G90</f>
        <v>39.693749999999994</v>
      </c>
      <c r="J90" s="94">
        <f ca="1">_xlfn.RANK.EQ(K90,K$79:K$94,1)-1</f>
        <v>7</v>
      </c>
      <c r="K90" s="95">
        <f ca="1">H90-I90</f>
        <v>0.20625000000000426</v>
      </c>
      <c r="L90" s="95">
        <f t="shared" ca="1" si="18"/>
        <v>4.2062500000000043</v>
      </c>
      <c r="N90" s="35"/>
      <c r="O90" s="149"/>
      <c r="P90" s="114"/>
      <c r="Q90" s="149"/>
      <c r="R90" s="149"/>
      <c r="S90" s="35"/>
      <c r="T90" s="149"/>
      <c r="U90" s="114"/>
      <c r="V90" s="149"/>
      <c r="W90" s="149"/>
      <c r="X90" s="149"/>
      <c r="Y90" s="149"/>
      <c r="Z90" s="78"/>
      <c r="AA90" s="30"/>
      <c r="AB90" s="30"/>
      <c r="AC90" s="30"/>
      <c r="AD90" s="30"/>
      <c r="AE90" s="78"/>
      <c r="AF90" s="30"/>
      <c r="AG90" s="30"/>
    </row>
    <row r="91" spans="1:33" x14ac:dyDescent="0.45">
      <c r="A91" s="89"/>
      <c r="B91" s="89"/>
      <c r="C91" s="89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35"/>
      <c r="O91" s="149"/>
      <c r="P91" s="114"/>
      <c r="Q91" s="149"/>
      <c r="R91" s="149"/>
      <c r="S91" s="35"/>
      <c r="T91" s="149"/>
      <c r="U91" s="114"/>
      <c r="V91" s="149"/>
      <c r="W91" s="149"/>
      <c r="X91" s="149"/>
      <c r="Y91" s="149"/>
      <c r="Z91" s="78"/>
      <c r="AA91" s="30"/>
      <c r="AB91" s="30"/>
      <c r="AC91" s="30"/>
      <c r="AD91" s="30"/>
      <c r="AE91" s="78"/>
      <c r="AF91" s="30"/>
      <c r="AG91" s="30"/>
    </row>
    <row r="92" spans="1:33" x14ac:dyDescent="0.45">
      <c r="A92" s="89"/>
      <c r="B92" s="38" t="s">
        <v>83</v>
      </c>
      <c r="C92" s="89"/>
      <c r="D92" s="69"/>
      <c r="E92" s="69"/>
      <c r="F92" s="69"/>
      <c r="G92" s="35"/>
      <c r="H92" s="149"/>
      <c r="I92" s="149"/>
      <c r="J92" s="35"/>
      <c r="K92" s="149"/>
      <c r="L92" s="149"/>
      <c r="M92" s="105"/>
      <c r="N92" s="35"/>
      <c r="O92" s="149"/>
      <c r="P92" s="114"/>
      <c r="Q92" s="149"/>
      <c r="R92" s="149"/>
      <c r="S92" s="35"/>
      <c r="T92" s="149"/>
      <c r="U92" s="114"/>
      <c r="V92" s="149"/>
      <c r="W92" s="149"/>
      <c r="X92" s="149"/>
      <c r="Y92" s="149"/>
      <c r="Z92" s="78"/>
      <c r="AA92" s="30"/>
      <c r="AB92" s="30"/>
      <c r="AC92" s="30"/>
      <c r="AD92" s="30"/>
      <c r="AE92" s="78"/>
      <c r="AF92" s="30"/>
      <c r="AG92" s="30"/>
    </row>
    <row r="93" spans="1:33" x14ac:dyDescent="0.45">
      <c r="A93" s="109" t="s">
        <v>39</v>
      </c>
      <c r="B93" s="115" t="s">
        <v>100</v>
      </c>
      <c r="C93" s="89"/>
      <c r="D93" s="69"/>
      <c r="E93" s="69"/>
      <c r="F93" s="69"/>
      <c r="G93" s="35"/>
      <c r="H93" s="149"/>
      <c r="I93" s="149"/>
      <c r="J93" s="35"/>
      <c r="K93" s="149"/>
      <c r="L93" s="149"/>
      <c r="M93" s="105"/>
      <c r="N93" s="35"/>
      <c r="O93" s="149"/>
      <c r="P93" s="114"/>
      <c r="Q93" s="149"/>
      <c r="R93" s="149"/>
      <c r="S93" s="35"/>
      <c r="T93" s="149"/>
      <c r="U93" s="114"/>
      <c r="V93" s="149"/>
      <c r="W93" s="149"/>
      <c r="X93" s="149"/>
      <c r="Y93" s="149"/>
      <c r="Z93" s="78"/>
      <c r="AA93" s="30"/>
      <c r="AB93" s="30"/>
      <c r="AC93" s="30"/>
      <c r="AD93" s="30"/>
      <c r="AE93" s="78"/>
      <c r="AF93" s="30"/>
      <c r="AG93" s="30"/>
    </row>
    <row r="94" spans="1:33" x14ac:dyDescent="0.45">
      <c r="A94" s="109" t="s">
        <v>39</v>
      </c>
      <c r="B94" s="115" t="s">
        <v>99</v>
      </c>
      <c r="C94" s="89"/>
      <c r="D94" s="69"/>
      <c r="E94" s="69"/>
      <c r="F94" s="69"/>
      <c r="G94" s="35"/>
      <c r="H94" s="149"/>
      <c r="I94" s="149"/>
      <c r="J94" s="35"/>
      <c r="K94" s="149"/>
      <c r="L94" s="149"/>
      <c r="M94" s="105"/>
      <c r="N94" s="35"/>
      <c r="O94" s="149"/>
      <c r="P94" s="114"/>
      <c r="Q94" s="149"/>
      <c r="R94" s="149"/>
      <c r="S94" s="35"/>
      <c r="T94" s="149"/>
      <c r="U94" s="114"/>
      <c r="V94" s="149"/>
      <c r="W94" s="149"/>
      <c r="X94" s="149"/>
      <c r="Y94" s="149"/>
      <c r="Z94" s="78"/>
      <c r="AA94" s="30"/>
      <c r="AB94" s="30"/>
      <c r="AC94" s="30"/>
      <c r="AD94" s="30"/>
      <c r="AE94" s="78"/>
      <c r="AF94" s="30"/>
      <c r="AG94" s="30"/>
    </row>
    <row r="95" spans="1:33" s="8" customFormat="1" x14ac:dyDescent="0.45">
      <c r="A95" s="89"/>
      <c r="B95" s="89"/>
      <c r="C95" s="89"/>
      <c r="D95" s="69"/>
      <c r="E95" s="69"/>
      <c r="F95" s="69"/>
      <c r="G95" s="35"/>
      <c r="H95" s="149"/>
      <c r="I95" s="149"/>
      <c r="J95" s="35"/>
      <c r="K95" s="149"/>
      <c r="L95" s="149"/>
      <c r="M95" s="35"/>
      <c r="N95" s="149"/>
      <c r="O95" s="149"/>
      <c r="P95" s="149"/>
      <c r="Q95" s="149"/>
      <c r="R95" s="149"/>
      <c r="S95" s="149"/>
      <c r="T95" s="149"/>
      <c r="U95" s="149"/>
      <c r="V95" s="67"/>
      <c r="W95" s="67"/>
      <c r="X95" s="67"/>
      <c r="Y95" s="67"/>
    </row>
    <row r="96" spans="1:33" s="8" customFormat="1" x14ac:dyDescent="0.45">
      <c r="A96" s="89"/>
      <c r="B96" s="89"/>
      <c r="C96" s="89"/>
      <c r="D96" s="69"/>
      <c r="E96" s="69"/>
      <c r="F96" s="69"/>
      <c r="G96" s="35"/>
      <c r="H96" s="149"/>
      <c r="I96" s="149"/>
      <c r="J96" s="35"/>
      <c r="K96" s="149"/>
      <c r="L96" s="149"/>
      <c r="M96" s="35"/>
      <c r="N96" s="149"/>
      <c r="O96" s="149"/>
      <c r="P96" s="149"/>
      <c r="Q96" s="149"/>
      <c r="R96" s="149"/>
      <c r="S96" s="149"/>
      <c r="T96" s="149"/>
      <c r="U96" s="149"/>
      <c r="V96" s="67"/>
      <c r="W96" s="67"/>
      <c r="X96" s="67"/>
      <c r="Y96" s="67"/>
    </row>
    <row r="97" spans="1:25" s="8" customFormat="1" x14ac:dyDescent="0.45">
      <c r="A97" s="89"/>
      <c r="B97" s="89"/>
      <c r="C97" s="89"/>
      <c r="D97" s="69"/>
      <c r="E97" s="69"/>
      <c r="F97" s="69"/>
      <c r="G97" s="35"/>
      <c r="H97" s="149"/>
      <c r="I97" s="149"/>
      <c r="J97" s="35"/>
      <c r="K97" s="149"/>
      <c r="L97" s="149"/>
      <c r="M97" s="35"/>
      <c r="N97" s="149"/>
      <c r="O97" s="149"/>
      <c r="P97" s="149"/>
      <c r="Q97" s="149"/>
      <c r="R97" s="149"/>
      <c r="S97" s="149"/>
      <c r="T97" s="149"/>
      <c r="U97" s="149"/>
      <c r="V97" s="67"/>
      <c r="W97" s="67"/>
      <c r="X97" s="67"/>
      <c r="Y97" s="67"/>
    </row>
    <row r="98" spans="1:25" s="8" customFormat="1" x14ac:dyDescent="0.45">
      <c r="A98" s="89"/>
      <c r="B98" s="89"/>
      <c r="C98" s="89"/>
      <c r="D98" s="69"/>
      <c r="E98" s="69"/>
      <c r="F98" s="69"/>
      <c r="G98" s="35"/>
      <c r="H98" s="149"/>
      <c r="I98" s="149"/>
      <c r="J98" s="35"/>
      <c r="K98" s="149"/>
      <c r="L98" s="149"/>
      <c r="M98" s="35"/>
      <c r="N98" s="149"/>
      <c r="O98" s="149"/>
      <c r="P98" s="149"/>
      <c r="Q98" s="149"/>
      <c r="R98" s="149"/>
      <c r="S98" s="149"/>
      <c r="T98" s="149"/>
      <c r="U98" s="149"/>
      <c r="V98" s="67"/>
      <c r="W98" s="67"/>
      <c r="X98" s="67"/>
      <c r="Y98" s="67"/>
    </row>
    <row r="99" spans="1:25" s="8" customFormat="1" x14ac:dyDescent="0.45">
      <c r="A99" s="89"/>
      <c r="B99" s="89"/>
      <c r="C99" s="89"/>
      <c r="D99" s="69"/>
      <c r="E99" s="69"/>
      <c r="F99" s="69"/>
      <c r="G99" s="35"/>
      <c r="H99" s="149"/>
      <c r="I99" s="149"/>
      <c r="J99" s="35"/>
      <c r="K99" s="149"/>
      <c r="L99" s="149"/>
      <c r="M99" s="35"/>
      <c r="N99" s="149"/>
      <c r="O99" s="149"/>
      <c r="P99" s="149"/>
      <c r="Q99" s="149"/>
      <c r="R99" s="149"/>
      <c r="S99" s="149"/>
      <c r="T99" s="149"/>
      <c r="U99" s="149"/>
      <c r="V99" s="67"/>
      <c r="W99" s="67"/>
      <c r="X99" s="67"/>
      <c r="Y99" s="67"/>
    </row>
  </sheetData>
  <mergeCells count="15">
    <mergeCell ref="X70:Y70"/>
    <mergeCell ref="A36:A37"/>
    <mergeCell ref="E52:F52"/>
    <mergeCell ref="X66:Y66"/>
    <mergeCell ref="E68:G68"/>
    <mergeCell ref="H68:J68"/>
    <mergeCell ref="X68:Y68"/>
    <mergeCell ref="X69:Y69"/>
    <mergeCell ref="X54:Y54"/>
    <mergeCell ref="X56:Y56"/>
    <mergeCell ref="X57:Y57"/>
    <mergeCell ref="X58:Y58"/>
    <mergeCell ref="D59:F59"/>
    <mergeCell ref="H59:J59"/>
    <mergeCell ref="G15:H15"/>
  </mergeCells>
  <conditionalFormatting sqref="D32:F32">
    <cfRule type="colorScale" priority="7">
      <colorScale>
        <cfvo type="min"/>
        <cfvo type="max"/>
        <color rgb="FFFFD1D1"/>
        <color rgb="FFC5FFCC"/>
      </colorScale>
    </cfRule>
  </conditionalFormatting>
  <conditionalFormatting sqref="D15:F18">
    <cfRule type="colorScale" priority="6">
      <colorScale>
        <cfvo type="min"/>
        <cfvo type="max"/>
        <color rgb="FFFFD1D1"/>
        <color rgb="FFC5FFCC"/>
      </colorScale>
    </cfRule>
  </conditionalFormatting>
  <conditionalFormatting sqref="M36:M38">
    <cfRule type="cellIs" dxfId="3" priority="3" operator="lessThanOrEqual">
      <formula>0.05</formula>
    </cfRule>
    <cfRule type="cellIs" dxfId="2" priority="4" operator="greaterThan">
      <formula>0.05</formula>
    </cfRule>
  </conditionalFormatting>
  <conditionalFormatting sqref="D10:E13">
    <cfRule type="colorScale" priority="25">
      <colorScale>
        <cfvo type="min"/>
        <cfvo type="max"/>
        <color rgb="FFFFD1D1"/>
        <color rgb="FFC5FFCC"/>
      </colorScale>
    </cfRule>
  </conditionalFormatting>
  <conditionalFormatting sqref="E40:I40 E39:J39 D35:F38 E48:K48">
    <cfRule type="colorScale" priority="28">
      <colorScale>
        <cfvo type="min"/>
        <cfvo type="max"/>
        <color rgb="FFFFD1D1"/>
        <color rgb="FFC5FFCC"/>
      </colorScale>
    </cfRule>
  </conditionalFormatting>
  <conditionalFormatting sqref="F79:G90 D92:F99">
    <cfRule type="colorScale" priority="29">
      <colorScale>
        <cfvo type="min"/>
        <cfvo type="max"/>
        <color rgb="FFFFD1D1"/>
        <color rgb="FFC5FFCC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5DBC2-C5A4-4A77-B30D-70EFBC6E8594}">
  <sheetPr codeName="Sheet2"/>
  <dimension ref="A1:AQ214"/>
  <sheetViews>
    <sheetView topLeftCell="A55" zoomScaleNormal="100" workbookViewId="0">
      <selection activeCell="D67" sqref="D67:F67"/>
    </sheetView>
  </sheetViews>
  <sheetFormatPr defaultColWidth="5.578125" defaultRowHeight="11.7" x14ac:dyDescent="0.45"/>
  <cols>
    <col min="1" max="3" width="5.578125" style="48"/>
    <col min="4" max="4" width="6.26171875" style="48" customWidth="1"/>
    <col min="5" max="5" width="5.578125" style="48"/>
    <col min="6" max="6" width="5.83984375" style="48" bestFit="1" customWidth="1"/>
    <col min="7" max="8" width="5.7890625" style="48" bestFit="1" customWidth="1"/>
    <col min="9" max="9" width="6.5234375" style="48" customWidth="1"/>
    <col min="10" max="10" width="7" style="48" customWidth="1"/>
    <col min="11" max="11" width="6.26171875" style="48" bestFit="1" customWidth="1"/>
    <col min="12" max="12" width="6.3125" style="48" bestFit="1" customWidth="1"/>
    <col min="13" max="13" width="6.68359375" style="48" customWidth="1"/>
    <col min="14" max="14" width="7.7890625" style="48" customWidth="1"/>
    <col min="15" max="15" width="7.1015625" style="48" customWidth="1"/>
    <col min="16" max="16" width="6.734375" style="48" customWidth="1"/>
    <col min="17" max="17" width="5.9453125" style="48" customWidth="1"/>
    <col min="18" max="18" width="6.1015625" style="48" customWidth="1"/>
    <col min="19" max="19" width="7.41796875" style="48" customWidth="1"/>
    <col min="20" max="21" width="6.7890625" style="48" customWidth="1"/>
    <col min="22" max="22" width="6.83984375" style="48" customWidth="1"/>
    <col min="23" max="23" width="6.47265625" style="48" customWidth="1"/>
    <col min="24" max="24" width="6.1015625" style="48" customWidth="1"/>
    <col min="25" max="25" width="6" style="48" customWidth="1"/>
    <col min="26" max="31" width="5.578125" style="48"/>
    <col min="32" max="32" width="6.26171875" style="48" bestFit="1" customWidth="1"/>
    <col min="33" max="16384" width="5.578125" style="48"/>
  </cols>
  <sheetData>
    <row r="1" spans="1:43" x14ac:dyDescent="0.45">
      <c r="A1" s="45"/>
      <c r="B1" s="44" t="s">
        <v>22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  <c r="R1" s="46"/>
      <c r="S1" s="46"/>
      <c r="T1" s="46"/>
      <c r="U1" s="46"/>
      <c r="V1" s="46"/>
      <c r="W1" s="46"/>
      <c r="X1" s="46"/>
      <c r="Y1" s="46"/>
    </row>
    <row r="2" spans="1:43" x14ac:dyDescent="0.4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3" x14ac:dyDescent="0.45">
      <c r="A3" s="67"/>
      <c r="B3" s="14" t="s">
        <v>10</v>
      </c>
      <c r="C3" s="26" t="s">
        <v>18</v>
      </c>
      <c r="D3" s="27"/>
      <c r="E3" s="134">
        <v>-1</v>
      </c>
      <c r="F3" s="43" t="s">
        <v>54</v>
      </c>
      <c r="G3" s="27"/>
      <c r="H3" s="67"/>
      <c r="I3" s="26" t="s">
        <v>35</v>
      </c>
      <c r="J3" s="27"/>
      <c r="K3" s="2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</row>
    <row r="4" spans="1:43" x14ac:dyDescent="0.45">
      <c r="A4" s="67"/>
      <c r="B4" s="71" t="s">
        <v>1</v>
      </c>
      <c r="C4" s="28" t="s">
        <v>7</v>
      </c>
      <c r="D4" s="7"/>
      <c r="E4" s="40">
        <v>40</v>
      </c>
      <c r="F4" s="40">
        <v>60</v>
      </c>
      <c r="G4" s="7" t="s">
        <v>8</v>
      </c>
      <c r="H4" s="67"/>
      <c r="I4" s="28" t="s">
        <v>12</v>
      </c>
      <c r="J4" s="7"/>
      <c r="K4" s="7">
        <v>3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</row>
    <row r="5" spans="1:43" x14ac:dyDescent="0.45">
      <c r="A5" s="67"/>
      <c r="B5" s="71" t="s">
        <v>2</v>
      </c>
      <c r="C5" s="28" t="s">
        <v>104</v>
      </c>
      <c r="D5" s="7"/>
      <c r="E5" s="41">
        <v>3.5</v>
      </c>
      <c r="F5" s="41">
        <v>7</v>
      </c>
      <c r="G5" s="7" t="s">
        <v>9</v>
      </c>
      <c r="H5" s="67"/>
      <c r="I5" s="66" t="s">
        <v>29</v>
      </c>
      <c r="J5" s="67"/>
      <c r="K5" s="67">
        <f>POWER(2,__k)</f>
        <v>8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43" x14ac:dyDescent="0.45">
      <c r="A6" s="67"/>
      <c r="B6" s="71" t="s">
        <v>4</v>
      </c>
      <c r="C6" s="28" t="s">
        <v>105</v>
      </c>
      <c r="D6" s="7"/>
      <c r="E6" s="41">
        <v>1.5</v>
      </c>
      <c r="F6" s="41">
        <v>2.5</v>
      </c>
      <c r="G6" s="7" t="s">
        <v>106</v>
      </c>
      <c r="H6" s="67"/>
      <c r="I6" s="28" t="s">
        <v>13</v>
      </c>
      <c r="J6" s="7"/>
      <c r="K6" s="42">
        <v>2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1:43" x14ac:dyDescent="0.45">
      <c r="A7" s="67"/>
      <c r="B7" s="37"/>
      <c r="C7" s="66"/>
      <c r="D7" s="67"/>
      <c r="E7" s="72"/>
      <c r="F7" s="72"/>
      <c r="G7" s="67"/>
      <c r="H7" s="67"/>
      <c r="I7" s="66"/>
      <c r="J7" s="67"/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1:43" x14ac:dyDescent="0.45">
      <c r="A8" s="45"/>
      <c r="B8" s="44" t="s">
        <v>69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73"/>
      <c r="R8" s="44" t="s">
        <v>36</v>
      </c>
      <c r="S8" s="46"/>
      <c r="T8" s="46"/>
      <c r="U8" s="46"/>
      <c r="V8" s="46"/>
      <c r="W8" s="46"/>
      <c r="X8" s="46"/>
      <c r="Y8" s="46"/>
      <c r="Z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 x14ac:dyDescent="0.45">
      <c r="A9" s="47" t="s">
        <v>19</v>
      </c>
      <c r="B9" s="6" t="s">
        <v>0</v>
      </c>
      <c r="C9" s="157" t="s">
        <v>11</v>
      </c>
      <c r="D9" s="17" t="s">
        <v>1</v>
      </c>
      <c r="E9" s="17" t="s">
        <v>2</v>
      </c>
      <c r="F9" s="17" t="s">
        <v>4</v>
      </c>
      <c r="G9" s="10">
        <v>1</v>
      </c>
      <c r="H9" s="10">
        <f>G9+1</f>
        <v>2</v>
      </c>
      <c r="I9" s="10">
        <f t="shared" ref="I9:N9" si="0">H9+1</f>
        <v>3</v>
      </c>
      <c r="J9" s="10">
        <f t="shared" si="0"/>
        <v>4</v>
      </c>
      <c r="K9" s="10">
        <f t="shared" si="0"/>
        <v>5</v>
      </c>
      <c r="L9" s="10">
        <f t="shared" si="0"/>
        <v>6</v>
      </c>
      <c r="M9" s="10">
        <f t="shared" si="0"/>
        <v>7</v>
      </c>
      <c r="N9" s="10">
        <f t="shared" si="0"/>
        <v>8</v>
      </c>
      <c r="O9" s="10" t="s">
        <v>53</v>
      </c>
      <c r="P9" s="10" t="s">
        <v>52</v>
      </c>
      <c r="Q9" s="10" t="s">
        <v>118</v>
      </c>
      <c r="R9" s="14">
        <f>MAX(R10:R25)</f>
        <v>15</v>
      </c>
      <c r="S9" s="14" t="s">
        <v>30</v>
      </c>
      <c r="T9" s="14" t="s">
        <v>31</v>
      </c>
      <c r="U9" s="14" t="s">
        <v>34</v>
      </c>
      <c r="V9" s="14" t="s">
        <v>24</v>
      </c>
      <c r="W9" s="10" t="s">
        <v>23</v>
      </c>
      <c r="X9" s="53" t="str">
        <f>r_symbol</f>
        <v>SF</v>
      </c>
      <c r="Y9" s="10" t="str">
        <f>_xlfn.CONCAT(X9,"S")</f>
        <v>SFS</v>
      </c>
      <c r="AE9" s="9"/>
      <c r="AF9" s="65"/>
      <c r="AG9" s="9"/>
      <c r="AH9" s="9"/>
      <c r="AI9" s="65"/>
      <c r="AJ9" s="9"/>
      <c r="AK9" s="9"/>
      <c r="AL9" s="65"/>
      <c r="AM9" s="9"/>
      <c r="AN9" s="9"/>
      <c r="AO9" s="65"/>
      <c r="AP9" s="9"/>
      <c r="AQ9" s="9"/>
    </row>
    <row r="10" spans="1:43" x14ac:dyDescent="0.45">
      <c r="A10" s="75">
        <v>8</v>
      </c>
      <c r="B10" s="5">
        <v>1</v>
      </c>
      <c r="C10" s="155" t="s">
        <v>39</v>
      </c>
      <c r="D10" s="16">
        <v>-1</v>
      </c>
      <c r="E10" s="16">
        <v>-1</v>
      </c>
      <c r="F10" s="16">
        <v>-1</v>
      </c>
      <c r="G10" s="1">
        <v>9.0000099999999996</v>
      </c>
      <c r="H10" s="1">
        <v>7.0000799999999996</v>
      </c>
      <c r="I10" s="1"/>
      <c r="J10" s="1"/>
      <c r="K10" s="1"/>
      <c r="L10" s="1"/>
      <c r="M10" s="1"/>
      <c r="N10" s="1"/>
      <c r="O10" s="1">
        <f>SUM(G10:N10)</f>
        <v>16.00009</v>
      </c>
      <c r="P10" s="1">
        <f>AVERAGE(G10:N10)</f>
        <v>8.0000450000000001</v>
      </c>
      <c r="Q10" s="1">
        <f>_xlfn.STDEV.S(G10:N10)</f>
        <v>1.4141640648983991</v>
      </c>
      <c r="R10" s="76">
        <v>0</v>
      </c>
      <c r="S10" s="76">
        <f t="shared" ref="S10:S25" si="1">INT(R10/POWER(2,__k))</f>
        <v>0</v>
      </c>
      <c r="T10" s="76">
        <f t="shared" ref="T10:T25" si="2">MOD(R10,POWER(2,__k))</f>
        <v>0</v>
      </c>
      <c r="U10" s="24">
        <f t="shared" ref="U10:U25" si="3">(R10+0.5)/($R$9+1)</f>
        <v>3.125E-2</v>
      </c>
      <c r="V10" s="24">
        <f t="shared" ref="V10:V25" si="4">_xlfn.NORM.INV(U10,0,1)</f>
        <v>-1.8627318674216511</v>
      </c>
      <c r="W10" s="77">
        <f t="shared" ref="W10:W25" ca="1" si="5">_xlfn.RANK.EQ(X10,$X$10:$X$25,1)-1</f>
        <v>2</v>
      </c>
      <c r="X10" s="1">
        <f t="shared" ref="X10:X25" ca="1" si="6">OFFSET($G$10,T10,S10)</f>
        <v>9.0000099999999996</v>
      </c>
      <c r="Y10" s="1">
        <f t="shared" ref="Y10:Y25" ca="1" si="7">VLOOKUP(R10,$W$10:$X$25,2,FALSE)</f>
        <v>7.0000799999999996</v>
      </c>
      <c r="AF10" s="15"/>
      <c r="AG10" s="30"/>
      <c r="AH10" s="78"/>
      <c r="AI10" s="15"/>
      <c r="AJ10" s="31"/>
      <c r="AK10" s="78"/>
      <c r="AL10" s="15"/>
      <c r="AM10" s="31"/>
      <c r="AN10" s="78"/>
      <c r="AO10" s="15"/>
      <c r="AP10" s="31"/>
      <c r="AQ10" s="31"/>
    </row>
    <row r="11" spans="1:43" x14ac:dyDescent="0.45">
      <c r="A11" s="75">
        <v>1</v>
      </c>
      <c r="B11" s="5">
        <f>B10+1</f>
        <v>2</v>
      </c>
      <c r="C11" s="156" t="s">
        <v>119</v>
      </c>
      <c r="D11" s="16">
        <v>1</v>
      </c>
      <c r="E11" s="16">
        <v>-1</v>
      </c>
      <c r="F11" s="16">
        <v>-1</v>
      </c>
      <c r="G11" s="1">
        <v>10.00001</v>
      </c>
      <c r="H11" s="1">
        <v>12.00009</v>
      </c>
      <c r="I11" s="1"/>
      <c r="J11" s="1"/>
      <c r="K11" s="1"/>
      <c r="L11" s="1"/>
      <c r="M11" s="1"/>
      <c r="N11" s="1"/>
      <c r="O11" s="1">
        <f t="shared" ref="O11:O17" si="8">SUM(G11:H11)</f>
        <v>22.0001</v>
      </c>
      <c r="P11" s="1">
        <f t="shared" ref="P11:P17" si="9">AVERAGE(G11:N11)</f>
        <v>11.00005</v>
      </c>
      <c r="Q11" s="1">
        <f t="shared" ref="Q11:Q17" si="10">_xlfn.STDEV.S(G11:N11)</f>
        <v>1.4142701309155903</v>
      </c>
      <c r="R11" s="76">
        <f t="shared" ref="R11:R25" si="11">R10+1</f>
        <v>1</v>
      </c>
      <c r="S11" s="76">
        <f t="shared" si="1"/>
        <v>0</v>
      </c>
      <c r="T11" s="76">
        <f t="shared" si="2"/>
        <v>1</v>
      </c>
      <c r="U11" s="24">
        <f t="shared" si="3"/>
        <v>9.375E-2</v>
      </c>
      <c r="V11" s="24">
        <f t="shared" si="4"/>
        <v>-1.3180108973035372</v>
      </c>
      <c r="W11" s="77">
        <f t="shared" ca="1" si="5"/>
        <v>6</v>
      </c>
      <c r="X11" s="1">
        <f t="shared" ca="1" si="6"/>
        <v>10.00001</v>
      </c>
      <c r="Y11" s="1">
        <f t="shared" ca="1" si="7"/>
        <v>8.0005000000000006</v>
      </c>
      <c r="AF11" s="15"/>
      <c r="AG11" s="30"/>
      <c r="AH11" s="78"/>
      <c r="AI11" s="15"/>
      <c r="AJ11" s="31"/>
      <c r="AK11" s="78"/>
      <c r="AL11" s="15"/>
      <c r="AM11" s="31"/>
      <c r="AN11" s="78"/>
      <c r="AO11" s="15"/>
      <c r="AP11" s="31"/>
      <c r="AQ11" s="31"/>
    </row>
    <row r="12" spans="1:43" x14ac:dyDescent="0.45">
      <c r="A12" s="75">
        <v>4</v>
      </c>
      <c r="B12" s="5">
        <f t="shared" ref="B12:B17" si="12">B11+1</f>
        <v>3</v>
      </c>
      <c r="C12" s="156" t="s">
        <v>68</v>
      </c>
      <c r="D12" s="16">
        <v>-1</v>
      </c>
      <c r="E12" s="16">
        <v>1</v>
      </c>
      <c r="F12" s="16">
        <v>-1</v>
      </c>
      <c r="G12" s="1">
        <v>9.0000199999999992</v>
      </c>
      <c r="H12" s="1">
        <v>11.00001</v>
      </c>
      <c r="I12" s="1"/>
      <c r="J12" s="1"/>
      <c r="K12" s="1"/>
      <c r="L12" s="1"/>
      <c r="M12" s="1"/>
      <c r="N12" s="1"/>
      <c r="O12" s="1">
        <f>SUM(G12:H12)</f>
        <v>20.000029999999999</v>
      </c>
      <c r="P12" s="1">
        <f>AVERAGE(G12:N12)</f>
        <v>10.000014999999999</v>
      </c>
      <c r="Q12" s="1">
        <f>_xlfn.STDEV.S(G12:N12)</f>
        <v>1.4142064913052834</v>
      </c>
      <c r="R12" s="76">
        <f t="shared" si="11"/>
        <v>2</v>
      </c>
      <c r="S12" s="76">
        <f t="shared" si="1"/>
        <v>0</v>
      </c>
      <c r="T12" s="76">
        <f t="shared" si="2"/>
        <v>2</v>
      </c>
      <c r="U12" s="24">
        <f t="shared" si="3"/>
        <v>0.15625</v>
      </c>
      <c r="V12" s="24">
        <f t="shared" si="4"/>
        <v>-1.0099901692495805</v>
      </c>
      <c r="W12" s="77">
        <f t="shared" ca="1" si="5"/>
        <v>3</v>
      </c>
      <c r="X12" s="1">
        <f t="shared" ca="1" si="6"/>
        <v>9.0000199999999992</v>
      </c>
      <c r="Y12" s="1">
        <f t="shared" ca="1" si="7"/>
        <v>9.0000099999999996</v>
      </c>
      <c r="AF12" s="15"/>
      <c r="AG12" s="30"/>
      <c r="AH12" s="78"/>
      <c r="AI12" s="15"/>
      <c r="AJ12" s="31"/>
      <c r="AK12" s="78"/>
      <c r="AL12" s="15"/>
      <c r="AM12" s="31"/>
      <c r="AN12" s="78"/>
      <c r="AO12" s="15"/>
      <c r="AP12" s="31"/>
      <c r="AQ12" s="31"/>
    </row>
    <row r="13" spans="1:43" x14ac:dyDescent="0.45">
      <c r="A13" s="75">
        <v>3</v>
      </c>
      <c r="B13" s="5">
        <f t="shared" si="12"/>
        <v>4</v>
      </c>
      <c r="C13" s="156" t="s">
        <v>120</v>
      </c>
      <c r="D13" s="16">
        <v>-1</v>
      </c>
      <c r="E13" s="16">
        <v>-1</v>
      </c>
      <c r="F13" s="16">
        <v>1</v>
      </c>
      <c r="G13" s="1">
        <v>11.000030000000001</v>
      </c>
      <c r="H13" s="1">
        <v>10.0000011</v>
      </c>
      <c r="I13" s="1"/>
      <c r="J13" s="1"/>
      <c r="K13" s="1"/>
      <c r="L13" s="1"/>
      <c r="M13" s="1"/>
      <c r="N13" s="1"/>
      <c r="O13" s="1">
        <f t="shared" si="8"/>
        <v>21.000031100000001</v>
      </c>
      <c r="P13" s="1">
        <f t="shared" si="9"/>
        <v>10.500015550000001</v>
      </c>
      <c r="Q13" s="1">
        <f t="shared" si="10"/>
        <v>0.70712721657252398</v>
      </c>
      <c r="R13" s="76">
        <f t="shared" si="11"/>
        <v>3</v>
      </c>
      <c r="S13" s="76">
        <f t="shared" si="1"/>
        <v>0</v>
      </c>
      <c r="T13" s="76">
        <f t="shared" si="2"/>
        <v>3</v>
      </c>
      <c r="U13" s="24">
        <f t="shared" si="3"/>
        <v>0.21875</v>
      </c>
      <c r="V13" s="24">
        <f t="shared" si="4"/>
        <v>-0.77642176114792794</v>
      </c>
      <c r="W13" s="77">
        <f t="shared" ca="1" si="5"/>
        <v>9</v>
      </c>
      <c r="X13" s="1">
        <f t="shared" ca="1" si="6"/>
        <v>11.000030000000001</v>
      </c>
      <c r="Y13" s="1">
        <f t="shared" ca="1" si="7"/>
        <v>9.0000199999999992</v>
      </c>
      <c r="AF13" s="15"/>
      <c r="AG13" s="30"/>
      <c r="AH13" s="78"/>
      <c r="AI13" s="15"/>
      <c r="AJ13" s="31"/>
      <c r="AK13" s="78"/>
      <c r="AL13" s="15"/>
      <c r="AM13" s="31"/>
      <c r="AN13" s="78"/>
      <c r="AO13" s="15"/>
      <c r="AP13" s="31"/>
      <c r="AQ13" s="31"/>
    </row>
    <row r="14" spans="1:43" x14ac:dyDescent="0.45">
      <c r="A14" s="75">
        <v>6</v>
      </c>
      <c r="B14" s="5">
        <f t="shared" si="12"/>
        <v>5</v>
      </c>
      <c r="C14" s="156" t="s">
        <v>121</v>
      </c>
      <c r="D14" s="16">
        <v>1</v>
      </c>
      <c r="E14" s="16">
        <v>1</v>
      </c>
      <c r="F14" s="16">
        <v>-1</v>
      </c>
      <c r="G14" s="1">
        <v>12.00004</v>
      </c>
      <c r="H14" s="1">
        <v>15</v>
      </c>
      <c r="I14" s="1"/>
      <c r="J14" s="1"/>
      <c r="K14" s="1"/>
      <c r="L14" s="1"/>
      <c r="M14" s="1"/>
      <c r="N14" s="1"/>
      <c r="O14" s="1">
        <f t="shared" si="8"/>
        <v>27.000039999999998</v>
      </c>
      <c r="P14" s="1">
        <f t="shared" si="9"/>
        <v>13.500019999999999</v>
      </c>
      <c r="Q14" s="1">
        <f t="shared" si="10"/>
        <v>2.121292059288403</v>
      </c>
      <c r="R14" s="76">
        <f t="shared" si="11"/>
        <v>4</v>
      </c>
      <c r="S14" s="76">
        <f t="shared" si="1"/>
        <v>0</v>
      </c>
      <c r="T14" s="76">
        <f t="shared" si="2"/>
        <v>4</v>
      </c>
      <c r="U14" s="24">
        <f t="shared" si="3"/>
        <v>0.28125</v>
      </c>
      <c r="V14" s="24">
        <f t="shared" si="4"/>
        <v>-0.57913216225555586</v>
      </c>
      <c r="W14" s="77">
        <f t="shared" ca="1" si="5"/>
        <v>10</v>
      </c>
      <c r="X14" s="1">
        <f t="shared" ca="1" si="6"/>
        <v>12.00004</v>
      </c>
      <c r="Y14" s="1">
        <f t="shared" ca="1" si="7"/>
        <v>10</v>
      </c>
      <c r="AF14" s="15"/>
      <c r="AG14" s="30"/>
      <c r="AH14" s="78"/>
      <c r="AI14" s="15"/>
      <c r="AJ14" s="31"/>
      <c r="AK14" s="78"/>
      <c r="AL14" s="15"/>
      <c r="AM14" s="31"/>
      <c r="AN14" s="78"/>
      <c r="AO14" s="15"/>
      <c r="AP14" s="31"/>
      <c r="AQ14" s="31"/>
    </row>
    <row r="15" spans="1:43" x14ac:dyDescent="0.45">
      <c r="A15" s="75">
        <v>5</v>
      </c>
      <c r="B15" s="5">
        <f t="shared" si="12"/>
        <v>6</v>
      </c>
      <c r="C15" s="156" t="s">
        <v>122</v>
      </c>
      <c r="D15" s="16">
        <v>-1</v>
      </c>
      <c r="E15" s="16">
        <v>1</v>
      </c>
      <c r="F15" s="16">
        <v>1</v>
      </c>
      <c r="G15" s="1">
        <v>8.0005000000000006</v>
      </c>
      <c r="H15" s="1">
        <v>10</v>
      </c>
      <c r="I15" s="1"/>
      <c r="J15" s="1"/>
      <c r="K15" s="1"/>
      <c r="L15" s="1"/>
      <c r="M15" s="1"/>
      <c r="N15" s="1"/>
      <c r="O15" s="1">
        <f t="shared" si="8"/>
        <v>18.000500000000002</v>
      </c>
      <c r="P15" s="1">
        <f t="shared" si="9"/>
        <v>9.0002500000000012</v>
      </c>
      <c r="Q15" s="1">
        <f t="shared" si="10"/>
        <v>1.4138600089824849</v>
      </c>
      <c r="R15" s="76">
        <f t="shared" si="11"/>
        <v>5</v>
      </c>
      <c r="S15" s="76">
        <f t="shared" si="1"/>
        <v>0</v>
      </c>
      <c r="T15" s="76">
        <f t="shared" si="2"/>
        <v>5</v>
      </c>
      <c r="U15" s="24">
        <f t="shared" si="3"/>
        <v>0.34375</v>
      </c>
      <c r="V15" s="24">
        <f t="shared" si="4"/>
        <v>-0.40225006532172536</v>
      </c>
      <c r="W15" s="77">
        <f t="shared" ca="1" si="5"/>
        <v>1</v>
      </c>
      <c r="X15" s="1">
        <f t="shared" ca="1" si="6"/>
        <v>8.0005000000000006</v>
      </c>
      <c r="Y15" s="1">
        <f t="shared" ca="1" si="7"/>
        <v>10.0000011</v>
      </c>
      <c r="AF15" s="15"/>
      <c r="AG15" s="30"/>
      <c r="AH15" s="78"/>
      <c r="AI15" s="15"/>
      <c r="AJ15" s="31"/>
      <c r="AK15" s="78"/>
      <c r="AL15" s="15"/>
      <c r="AM15" s="31"/>
      <c r="AN15" s="78"/>
      <c r="AO15" s="15"/>
      <c r="AP15" s="31"/>
      <c r="AQ15" s="31"/>
    </row>
    <row r="16" spans="1:43" x14ac:dyDescent="0.45">
      <c r="A16" s="75">
        <v>2</v>
      </c>
      <c r="B16" s="5">
        <f t="shared" si="12"/>
        <v>7</v>
      </c>
      <c r="C16" s="156" t="s">
        <v>123</v>
      </c>
      <c r="D16" s="16">
        <v>1</v>
      </c>
      <c r="E16" s="16">
        <v>-1</v>
      </c>
      <c r="F16" s="16">
        <v>1</v>
      </c>
      <c r="G16" s="1">
        <v>10.00006</v>
      </c>
      <c r="H16" s="1">
        <v>13</v>
      </c>
      <c r="I16" s="1"/>
      <c r="J16" s="1"/>
      <c r="K16" s="1"/>
      <c r="L16" s="1"/>
      <c r="M16" s="1"/>
      <c r="N16" s="1"/>
      <c r="O16" s="1">
        <f t="shared" si="8"/>
        <v>23.000059999999998</v>
      </c>
      <c r="P16" s="1">
        <f t="shared" si="9"/>
        <v>11.500029999999999</v>
      </c>
      <c r="Q16" s="1">
        <f t="shared" si="10"/>
        <v>2.1212779171527858</v>
      </c>
      <c r="R16" s="76">
        <f t="shared" si="11"/>
        <v>6</v>
      </c>
      <c r="S16" s="76">
        <f t="shared" si="1"/>
        <v>0</v>
      </c>
      <c r="T16" s="76">
        <f t="shared" si="2"/>
        <v>6</v>
      </c>
      <c r="U16" s="24">
        <f t="shared" si="3"/>
        <v>0.40625</v>
      </c>
      <c r="V16" s="24">
        <f t="shared" si="4"/>
        <v>-0.23720210932878771</v>
      </c>
      <c r="W16" s="77">
        <f t="shared" ca="1" si="5"/>
        <v>7</v>
      </c>
      <c r="X16" s="1">
        <f t="shared" ca="1" si="6"/>
        <v>10.00006</v>
      </c>
      <c r="Y16" s="1">
        <f t="shared" ca="1" si="7"/>
        <v>10.00001</v>
      </c>
      <c r="AF16" s="15"/>
      <c r="AG16" s="30"/>
      <c r="AH16" s="78"/>
      <c r="AI16" s="15"/>
      <c r="AJ16" s="31"/>
      <c r="AK16" s="78"/>
      <c r="AL16" s="15"/>
      <c r="AM16" s="31"/>
      <c r="AN16" s="78"/>
      <c r="AO16" s="15"/>
      <c r="AP16" s="31"/>
      <c r="AQ16" s="31"/>
    </row>
    <row r="17" spans="1:43" x14ac:dyDescent="0.45">
      <c r="A17" s="75">
        <v>7</v>
      </c>
      <c r="B17" s="5">
        <f t="shared" si="12"/>
        <v>8</v>
      </c>
      <c r="C17" s="156" t="s">
        <v>124</v>
      </c>
      <c r="D17" s="16">
        <v>1</v>
      </c>
      <c r="E17" s="16">
        <v>1</v>
      </c>
      <c r="F17" s="16">
        <v>1</v>
      </c>
      <c r="G17" s="1">
        <v>16.000070000000001</v>
      </c>
      <c r="H17" s="1">
        <v>14</v>
      </c>
      <c r="I17" s="1"/>
      <c r="J17" s="1"/>
      <c r="K17" s="1"/>
      <c r="L17" s="1"/>
      <c r="M17" s="1"/>
      <c r="N17" s="1"/>
      <c r="O17" s="1">
        <f t="shared" si="8"/>
        <v>30.000070000000001</v>
      </c>
      <c r="P17" s="1">
        <f t="shared" si="9"/>
        <v>15.000035</v>
      </c>
      <c r="Q17" s="1">
        <f t="shared" si="10"/>
        <v>1.4142630598477788</v>
      </c>
      <c r="R17" s="76">
        <f t="shared" si="11"/>
        <v>7</v>
      </c>
      <c r="S17" s="76">
        <f t="shared" si="1"/>
        <v>0</v>
      </c>
      <c r="T17" s="76">
        <f t="shared" si="2"/>
        <v>7</v>
      </c>
      <c r="U17" s="24">
        <f t="shared" si="3"/>
        <v>0.46875</v>
      </c>
      <c r="V17" s="24">
        <f t="shared" si="4"/>
        <v>-7.8412412733112211E-2</v>
      </c>
      <c r="W17" s="77">
        <f t="shared" ca="1" si="5"/>
        <v>15</v>
      </c>
      <c r="X17" s="1">
        <f t="shared" ca="1" si="6"/>
        <v>16.000070000000001</v>
      </c>
      <c r="Y17" s="1">
        <f t="shared" ca="1" si="7"/>
        <v>10.00006</v>
      </c>
      <c r="AF17" s="15"/>
      <c r="AG17" s="30"/>
      <c r="AH17" s="78"/>
      <c r="AI17" s="15"/>
      <c r="AJ17" s="31"/>
      <c r="AK17" s="78"/>
      <c r="AL17" s="15"/>
      <c r="AM17" s="31"/>
      <c r="AN17" s="78"/>
      <c r="AO17" s="15"/>
      <c r="AP17" s="31"/>
      <c r="AQ17" s="31"/>
    </row>
    <row r="18" spans="1:43" x14ac:dyDescent="0.45">
      <c r="A18" s="37"/>
      <c r="B18" s="34"/>
      <c r="C18" s="34"/>
      <c r="D18" s="79"/>
      <c r="E18" s="79"/>
      <c r="F18" s="79"/>
      <c r="G18" s="37"/>
      <c r="H18" s="37"/>
      <c r="I18" s="37"/>
      <c r="J18" s="37"/>
      <c r="K18" s="37"/>
      <c r="L18" s="37"/>
      <c r="M18" s="37"/>
      <c r="N18" s="37"/>
      <c r="Q18" s="74"/>
      <c r="R18" s="76">
        <f t="shared" si="11"/>
        <v>8</v>
      </c>
      <c r="S18" s="76">
        <f t="shared" si="1"/>
        <v>1</v>
      </c>
      <c r="T18" s="76">
        <f t="shared" si="2"/>
        <v>0</v>
      </c>
      <c r="U18" s="24">
        <f t="shared" si="3"/>
        <v>0.53125</v>
      </c>
      <c r="V18" s="24">
        <f t="shared" si="4"/>
        <v>7.8412412733112211E-2</v>
      </c>
      <c r="W18" s="77">
        <f t="shared" ca="1" si="5"/>
        <v>0</v>
      </c>
      <c r="X18" s="1">
        <f t="shared" ca="1" si="6"/>
        <v>7.0000799999999996</v>
      </c>
      <c r="Y18" s="1">
        <f t="shared" ca="1" si="7"/>
        <v>11.00001</v>
      </c>
      <c r="AE18" s="78"/>
      <c r="AF18" s="15"/>
      <c r="AG18" s="30"/>
      <c r="AH18" s="78"/>
      <c r="AI18" s="15"/>
      <c r="AJ18" s="31"/>
      <c r="AK18" s="78"/>
      <c r="AL18" s="15"/>
      <c r="AM18" s="31"/>
      <c r="AN18" s="78"/>
      <c r="AO18" s="15"/>
      <c r="AP18" s="31"/>
      <c r="AQ18" s="31"/>
    </row>
    <row r="19" spans="1:43" x14ac:dyDescent="0.45">
      <c r="A19" s="74"/>
      <c r="B19" s="22" t="s">
        <v>51</v>
      </c>
      <c r="C19" s="25" t="s">
        <v>102</v>
      </c>
      <c r="D19" s="80"/>
      <c r="E19" s="80"/>
      <c r="F19" s="69"/>
      <c r="G19" s="158" t="s">
        <v>53</v>
      </c>
      <c r="H19" s="158"/>
      <c r="I19" s="35"/>
      <c r="J19" s="35"/>
      <c r="K19" s="35"/>
      <c r="L19" s="35"/>
      <c r="M19" s="35"/>
      <c r="N19" s="35"/>
      <c r="O19" s="36"/>
      <c r="P19" s="39"/>
      <c r="Q19" s="74"/>
      <c r="R19" s="76">
        <f t="shared" si="11"/>
        <v>9</v>
      </c>
      <c r="S19" s="76">
        <f t="shared" si="1"/>
        <v>1</v>
      </c>
      <c r="T19" s="76">
        <f t="shared" si="2"/>
        <v>1</v>
      </c>
      <c r="U19" s="24">
        <f t="shared" si="3"/>
        <v>0.59375</v>
      </c>
      <c r="V19" s="24">
        <f t="shared" si="4"/>
        <v>0.23720210932878771</v>
      </c>
      <c r="W19" s="77">
        <f t="shared" ca="1" si="5"/>
        <v>11</v>
      </c>
      <c r="X19" s="1">
        <f t="shared" ca="1" si="6"/>
        <v>12.00009</v>
      </c>
      <c r="Y19" s="1">
        <f t="shared" ca="1" si="7"/>
        <v>11.000030000000001</v>
      </c>
      <c r="AE19" s="78"/>
      <c r="AF19" s="15"/>
      <c r="AG19" s="30"/>
      <c r="AH19" s="78"/>
      <c r="AI19" s="15"/>
      <c r="AJ19" s="31"/>
      <c r="AK19" s="78"/>
      <c r="AL19" s="15"/>
      <c r="AM19" s="31"/>
      <c r="AN19" s="78"/>
      <c r="AO19" s="15"/>
      <c r="AP19" s="31"/>
      <c r="AQ19" s="31"/>
    </row>
    <row r="20" spans="1:43" x14ac:dyDescent="0.45">
      <c r="A20" s="74"/>
      <c r="B20" s="22" t="s">
        <v>49</v>
      </c>
      <c r="C20" s="25" t="s">
        <v>103</v>
      </c>
      <c r="D20" s="80"/>
      <c r="E20" s="80"/>
      <c r="F20" s="69"/>
      <c r="G20" s="10" t="s">
        <v>52</v>
      </c>
      <c r="H20" s="35">
        <f>AVERAGE(G10:H17)</f>
        <v>11.06255756875</v>
      </c>
      <c r="I20" s="35"/>
      <c r="J20" s="35"/>
      <c r="K20" s="35"/>
      <c r="L20" s="35"/>
      <c r="M20" s="35"/>
      <c r="N20" s="35"/>
      <c r="O20" s="36"/>
      <c r="P20" s="36"/>
      <c r="Q20" s="74"/>
      <c r="R20" s="76">
        <f t="shared" si="11"/>
        <v>10</v>
      </c>
      <c r="S20" s="76">
        <f t="shared" si="1"/>
        <v>1</v>
      </c>
      <c r="T20" s="76">
        <f t="shared" si="2"/>
        <v>2</v>
      </c>
      <c r="U20" s="24">
        <f t="shared" si="3"/>
        <v>0.65625</v>
      </c>
      <c r="V20" s="24">
        <f t="shared" si="4"/>
        <v>0.40225006532172536</v>
      </c>
      <c r="W20" s="77">
        <f t="shared" ca="1" si="5"/>
        <v>8</v>
      </c>
      <c r="X20" s="1">
        <f t="shared" ca="1" si="6"/>
        <v>11.00001</v>
      </c>
      <c r="Y20" s="1">
        <f t="shared" ca="1" si="7"/>
        <v>12.00004</v>
      </c>
      <c r="AE20" s="78"/>
      <c r="AF20" s="15"/>
      <c r="AG20" s="30"/>
      <c r="AH20" s="78"/>
      <c r="AI20" s="15"/>
      <c r="AJ20" s="31"/>
      <c r="AK20" s="78"/>
      <c r="AL20" s="15"/>
      <c r="AM20" s="31"/>
      <c r="AN20" s="78"/>
      <c r="AO20" s="15"/>
      <c r="AP20" s="31"/>
      <c r="AQ20" s="31"/>
    </row>
    <row r="21" spans="1:43" x14ac:dyDescent="0.45">
      <c r="A21" s="74"/>
      <c r="B21" s="22" t="s">
        <v>50</v>
      </c>
      <c r="C21" s="25" t="s">
        <v>133</v>
      </c>
      <c r="D21" s="80"/>
      <c r="E21" s="80"/>
      <c r="F21" s="69"/>
      <c r="G21" s="10" t="s">
        <v>118</v>
      </c>
      <c r="H21" s="35">
        <f>_xlfn.STDEV.S(G10:H17)</f>
        <v>2.4891021525264132</v>
      </c>
      <c r="I21" s="35"/>
      <c r="J21" s="35"/>
      <c r="K21" s="35"/>
      <c r="L21" s="35"/>
      <c r="M21" s="35"/>
      <c r="N21" s="35"/>
      <c r="O21" s="36"/>
      <c r="P21" s="36"/>
      <c r="Q21" s="74"/>
      <c r="R21" s="76">
        <f t="shared" si="11"/>
        <v>11</v>
      </c>
      <c r="S21" s="76">
        <f t="shared" si="1"/>
        <v>1</v>
      </c>
      <c r="T21" s="76">
        <f t="shared" si="2"/>
        <v>3</v>
      </c>
      <c r="U21" s="24">
        <f t="shared" si="3"/>
        <v>0.71875</v>
      </c>
      <c r="V21" s="24">
        <f t="shared" si="4"/>
        <v>0.57913216225555586</v>
      </c>
      <c r="W21" s="77">
        <f t="shared" ca="1" si="5"/>
        <v>5</v>
      </c>
      <c r="X21" s="1">
        <f t="shared" ca="1" si="6"/>
        <v>10.0000011</v>
      </c>
      <c r="Y21" s="1">
        <f t="shared" ca="1" si="7"/>
        <v>12.00009</v>
      </c>
      <c r="AE21" s="78"/>
      <c r="AF21" s="15"/>
      <c r="AG21" s="30"/>
      <c r="AH21" s="78"/>
      <c r="AI21" s="15"/>
      <c r="AJ21" s="31"/>
      <c r="AK21" s="78"/>
      <c r="AL21" s="15"/>
      <c r="AM21" s="31"/>
      <c r="AN21" s="78"/>
      <c r="AO21" s="15"/>
      <c r="AP21" s="31"/>
      <c r="AQ21" s="31"/>
    </row>
    <row r="22" spans="1:43" x14ac:dyDescent="0.45">
      <c r="A22" s="74"/>
      <c r="B22" s="33"/>
      <c r="C22" s="34"/>
      <c r="D22" s="69"/>
      <c r="E22" s="69"/>
      <c r="F22" s="69"/>
      <c r="G22" s="35"/>
      <c r="H22" s="35"/>
      <c r="I22" s="35"/>
      <c r="J22" s="35"/>
      <c r="K22" s="35"/>
      <c r="L22" s="35"/>
      <c r="M22" s="35"/>
      <c r="N22" s="35"/>
      <c r="O22" s="36"/>
      <c r="P22" s="36"/>
      <c r="Q22" s="74"/>
      <c r="R22" s="76">
        <f t="shared" si="11"/>
        <v>12</v>
      </c>
      <c r="S22" s="76">
        <f t="shared" si="1"/>
        <v>1</v>
      </c>
      <c r="T22" s="76">
        <f t="shared" si="2"/>
        <v>4</v>
      </c>
      <c r="U22" s="24">
        <f t="shared" si="3"/>
        <v>0.78125</v>
      </c>
      <c r="V22" s="24">
        <f t="shared" si="4"/>
        <v>0.77642176114792794</v>
      </c>
      <c r="W22" s="77">
        <f t="shared" ca="1" si="5"/>
        <v>14</v>
      </c>
      <c r="X22" s="1">
        <f t="shared" ca="1" si="6"/>
        <v>15</v>
      </c>
      <c r="Y22" s="1">
        <f t="shared" ca="1" si="7"/>
        <v>13</v>
      </c>
      <c r="AE22" s="78"/>
      <c r="AF22" s="15"/>
      <c r="AG22" s="30"/>
      <c r="AH22" s="78"/>
      <c r="AI22" s="15"/>
      <c r="AJ22" s="31"/>
      <c r="AK22" s="78"/>
      <c r="AL22" s="15"/>
      <c r="AM22" s="31"/>
      <c r="AN22" s="78"/>
      <c r="AO22" s="15"/>
      <c r="AP22" s="31"/>
      <c r="AQ22" s="31"/>
    </row>
    <row r="23" spans="1:43" x14ac:dyDescent="0.45">
      <c r="A23" s="67"/>
      <c r="B23" s="81" t="s">
        <v>83</v>
      </c>
      <c r="C23" s="82"/>
      <c r="D23" s="67"/>
      <c r="E23" s="67"/>
      <c r="F23" s="67"/>
      <c r="G23" s="67"/>
      <c r="H23" s="67"/>
      <c r="I23" s="67"/>
      <c r="J23" s="35"/>
      <c r="K23" s="35"/>
      <c r="L23" s="35"/>
      <c r="M23" s="35"/>
      <c r="N23" s="35"/>
      <c r="O23" s="36"/>
      <c r="P23" s="36"/>
      <c r="Q23" s="74"/>
      <c r="R23" s="76">
        <f t="shared" si="11"/>
        <v>13</v>
      </c>
      <c r="S23" s="76">
        <f t="shared" si="1"/>
        <v>1</v>
      </c>
      <c r="T23" s="76">
        <f t="shared" si="2"/>
        <v>5</v>
      </c>
      <c r="U23" s="24">
        <f t="shared" si="3"/>
        <v>0.84375</v>
      </c>
      <c r="V23" s="24">
        <f t="shared" si="4"/>
        <v>1.0099901692495805</v>
      </c>
      <c r="W23" s="77">
        <f t="shared" ca="1" si="5"/>
        <v>4</v>
      </c>
      <c r="X23" s="1">
        <f t="shared" ca="1" si="6"/>
        <v>10</v>
      </c>
      <c r="Y23" s="1">
        <f t="shared" ca="1" si="7"/>
        <v>14</v>
      </c>
      <c r="AE23" s="78"/>
      <c r="AF23" s="15"/>
      <c r="AG23" s="30"/>
      <c r="AH23" s="78"/>
      <c r="AI23" s="15"/>
      <c r="AJ23" s="31"/>
      <c r="AK23" s="78"/>
      <c r="AL23" s="15"/>
      <c r="AM23" s="31"/>
      <c r="AN23" s="78"/>
      <c r="AO23" s="15"/>
      <c r="AP23" s="31"/>
      <c r="AQ23" s="31"/>
    </row>
    <row r="24" spans="1:43" x14ac:dyDescent="0.45">
      <c r="A24" s="83" t="s">
        <v>39</v>
      </c>
      <c r="B24" s="67" t="s">
        <v>41</v>
      </c>
      <c r="C24" s="82"/>
      <c r="D24" s="67"/>
      <c r="E24" s="67"/>
      <c r="F24" s="67"/>
      <c r="G24" s="67"/>
      <c r="H24" s="67"/>
      <c r="I24" s="67"/>
      <c r="J24" s="35"/>
      <c r="K24" s="35"/>
      <c r="L24" s="35"/>
      <c r="M24" s="35"/>
      <c r="N24" s="35"/>
      <c r="O24" s="36"/>
      <c r="P24" s="36"/>
      <c r="Q24" s="74"/>
      <c r="R24" s="76">
        <f t="shared" si="11"/>
        <v>14</v>
      </c>
      <c r="S24" s="76">
        <f t="shared" si="1"/>
        <v>1</v>
      </c>
      <c r="T24" s="76">
        <f t="shared" si="2"/>
        <v>6</v>
      </c>
      <c r="U24" s="24">
        <f t="shared" si="3"/>
        <v>0.90625</v>
      </c>
      <c r="V24" s="24">
        <f t="shared" si="4"/>
        <v>1.3180108973035372</v>
      </c>
      <c r="W24" s="77">
        <f t="shared" ca="1" si="5"/>
        <v>12</v>
      </c>
      <c r="X24" s="1">
        <f t="shared" ca="1" si="6"/>
        <v>13</v>
      </c>
      <c r="Y24" s="1">
        <f t="shared" ca="1" si="7"/>
        <v>15</v>
      </c>
      <c r="AE24" s="78"/>
      <c r="AF24" s="15"/>
      <c r="AG24" s="30"/>
      <c r="AH24" s="78"/>
      <c r="AI24" s="15"/>
      <c r="AJ24" s="31"/>
      <c r="AK24" s="78"/>
      <c r="AL24" s="15"/>
      <c r="AM24" s="31"/>
      <c r="AN24" s="78"/>
      <c r="AO24" s="15"/>
      <c r="AP24" s="31"/>
      <c r="AQ24" s="31"/>
    </row>
    <row r="25" spans="1:43" x14ac:dyDescent="0.45">
      <c r="A25" s="83" t="s">
        <v>39</v>
      </c>
      <c r="B25" s="67" t="s">
        <v>40</v>
      </c>
      <c r="C25" s="67"/>
      <c r="D25" s="67"/>
      <c r="E25" s="67"/>
      <c r="F25" s="67"/>
      <c r="G25" s="67"/>
      <c r="H25" s="67"/>
      <c r="I25" s="67"/>
      <c r="J25" s="35"/>
      <c r="K25" s="35"/>
      <c r="L25" s="35"/>
      <c r="M25" s="35"/>
      <c r="N25" s="35"/>
      <c r="O25" s="36"/>
      <c r="P25" s="36"/>
      <c r="Q25" s="74"/>
      <c r="R25" s="76">
        <f t="shared" si="11"/>
        <v>15</v>
      </c>
      <c r="S25" s="76">
        <f t="shared" si="1"/>
        <v>1</v>
      </c>
      <c r="T25" s="76">
        <f t="shared" si="2"/>
        <v>7</v>
      </c>
      <c r="U25" s="24">
        <f t="shared" si="3"/>
        <v>0.96875</v>
      </c>
      <c r="V25" s="24">
        <f t="shared" si="4"/>
        <v>1.8627318674216511</v>
      </c>
      <c r="W25" s="77">
        <f t="shared" ca="1" si="5"/>
        <v>13</v>
      </c>
      <c r="X25" s="1">
        <f t="shared" ca="1" si="6"/>
        <v>14</v>
      </c>
      <c r="Y25" s="1">
        <f t="shared" ca="1" si="7"/>
        <v>16.000070000000001</v>
      </c>
      <c r="AE25" s="78"/>
      <c r="AF25" s="15"/>
      <c r="AG25" s="30"/>
      <c r="AH25" s="78"/>
      <c r="AI25" s="15"/>
      <c r="AJ25" s="31"/>
      <c r="AK25" s="78"/>
      <c r="AL25" s="15"/>
      <c r="AM25" s="31"/>
      <c r="AN25" s="78"/>
      <c r="AO25" s="15"/>
      <c r="AP25" s="31"/>
      <c r="AQ25" s="31"/>
    </row>
    <row r="26" spans="1:43" x14ac:dyDescent="0.45">
      <c r="A26" s="83" t="s">
        <v>39</v>
      </c>
      <c r="B26" s="67" t="s">
        <v>37</v>
      </c>
      <c r="C26" s="82"/>
      <c r="D26" s="67"/>
      <c r="E26" s="67"/>
      <c r="F26" s="67"/>
      <c r="G26" s="67"/>
      <c r="H26" s="67"/>
      <c r="I26" s="67"/>
      <c r="J26" s="35"/>
      <c r="K26" s="35"/>
      <c r="L26" s="35"/>
      <c r="M26" s="35"/>
      <c r="N26" s="35"/>
      <c r="O26" s="36"/>
      <c r="P26" s="36"/>
      <c r="Q26" s="67"/>
      <c r="R26" s="84"/>
      <c r="S26" s="85"/>
      <c r="T26" s="84"/>
      <c r="U26" s="84"/>
      <c r="V26" s="84"/>
      <c r="W26" s="50"/>
      <c r="X26" s="50"/>
      <c r="Y26" s="50"/>
    </row>
    <row r="27" spans="1:43" x14ac:dyDescent="0.45">
      <c r="A27" s="83"/>
      <c r="B27" s="67" t="s">
        <v>38</v>
      </c>
      <c r="C27" s="82"/>
      <c r="D27" s="67"/>
      <c r="E27" s="67"/>
      <c r="F27" s="67"/>
      <c r="G27" s="67"/>
      <c r="H27" s="67"/>
      <c r="I27" s="67"/>
      <c r="J27" s="37"/>
      <c r="K27" s="37"/>
      <c r="L27" s="37"/>
      <c r="M27" s="37"/>
      <c r="N27" s="37"/>
      <c r="O27" s="38"/>
      <c r="P27" s="38"/>
      <c r="Q27" s="67"/>
      <c r="R27" s="86"/>
      <c r="S27" s="85"/>
      <c r="T27" s="84"/>
      <c r="U27" s="84"/>
      <c r="V27" s="84"/>
      <c r="W27" s="50"/>
      <c r="X27" s="50"/>
      <c r="Y27" s="50"/>
    </row>
    <row r="28" spans="1:43" x14ac:dyDescent="0.45">
      <c r="A28" s="83" t="s">
        <v>39</v>
      </c>
      <c r="B28" s="67" t="s">
        <v>42</v>
      </c>
      <c r="C28" s="82"/>
      <c r="D28" s="67"/>
      <c r="E28" s="67"/>
      <c r="F28" s="67"/>
      <c r="G28" s="67"/>
      <c r="H28" s="67"/>
      <c r="I28" s="67"/>
      <c r="J28" s="35"/>
      <c r="K28" s="35"/>
      <c r="L28" s="35"/>
      <c r="M28" s="35"/>
      <c r="N28" s="35"/>
      <c r="O28" s="35"/>
      <c r="P28" s="39"/>
      <c r="Q28" s="83"/>
      <c r="R28" s="84"/>
      <c r="S28" s="85"/>
      <c r="T28" s="84"/>
      <c r="U28" s="84"/>
      <c r="V28" s="84"/>
      <c r="W28" s="50"/>
      <c r="X28" s="50"/>
      <c r="Y28" s="50"/>
    </row>
    <row r="29" spans="1:43" x14ac:dyDescent="0.45">
      <c r="A29" s="83" t="s">
        <v>39</v>
      </c>
      <c r="B29" s="67" t="s">
        <v>43</v>
      </c>
      <c r="C29" s="82"/>
      <c r="D29" s="67"/>
      <c r="E29" s="67"/>
      <c r="F29" s="67"/>
      <c r="G29" s="67"/>
      <c r="H29" s="67"/>
      <c r="I29" s="67"/>
      <c r="J29" s="35"/>
      <c r="K29" s="35"/>
      <c r="L29" s="35"/>
      <c r="M29" s="35"/>
      <c r="N29" s="35"/>
      <c r="O29" s="35"/>
      <c r="P29" s="36"/>
      <c r="Q29" s="83"/>
      <c r="R29" s="84"/>
      <c r="S29" s="84"/>
      <c r="T29" s="84"/>
      <c r="U29" s="84"/>
      <c r="V29" s="84"/>
      <c r="W29" s="50"/>
      <c r="X29" s="50"/>
      <c r="Y29" s="50"/>
    </row>
    <row r="30" spans="1:43" x14ac:dyDescent="0.45">
      <c r="A30" s="83" t="s">
        <v>39</v>
      </c>
      <c r="B30" s="67" t="s">
        <v>44</v>
      </c>
      <c r="C30" s="82"/>
      <c r="D30" s="67"/>
      <c r="E30" s="67"/>
      <c r="F30" s="67"/>
      <c r="G30" s="67"/>
      <c r="H30" s="67"/>
      <c r="I30" s="67"/>
      <c r="J30" s="35"/>
      <c r="K30" s="35"/>
      <c r="L30" s="35"/>
      <c r="M30" s="35"/>
      <c r="N30" s="35"/>
      <c r="O30" s="35"/>
      <c r="P30" s="36"/>
      <c r="Q30" s="83"/>
      <c r="R30" s="84"/>
      <c r="S30" s="85"/>
      <c r="T30" s="84"/>
      <c r="U30" s="84"/>
      <c r="V30" s="84"/>
      <c r="W30" s="50"/>
      <c r="X30" s="50"/>
      <c r="Y30" s="50"/>
    </row>
    <row r="31" spans="1:43" x14ac:dyDescent="0.45">
      <c r="A31" s="67"/>
      <c r="B31" s="67" t="s">
        <v>45</v>
      </c>
      <c r="C31" s="82"/>
      <c r="D31" s="67"/>
      <c r="E31" s="67"/>
      <c r="F31" s="67"/>
      <c r="G31" s="67"/>
      <c r="H31" s="67"/>
      <c r="I31" s="67"/>
      <c r="J31" s="35"/>
      <c r="K31" s="35"/>
      <c r="L31" s="35"/>
      <c r="M31" s="35"/>
      <c r="N31" s="35"/>
      <c r="O31" s="35"/>
      <c r="P31" s="36"/>
      <c r="Q31" s="83"/>
      <c r="R31" s="84"/>
      <c r="S31" s="85"/>
      <c r="T31" s="84"/>
      <c r="U31" s="84"/>
      <c r="V31" s="84"/>
      <c r="W31" s="50"/>
      <c r="X31" s="50"/>
      <c r="Y31" s="50"/>
    </row>
    <row r="32" spans="1:43" x14ac:dyDescent="0.45">
      <c r="A32" s="67"/>
      <c r="B32" s="67" t="s">
        <v>46</v>
      </c>
      <c r="C32" s="67"/>
      <c r="D32" s="67"/>
      <c r="E32" s="67"/>
      <c r="F32" s="67"/>
      <c r="G32" s="67"/>
      <c r="H32" s="67"/>
      <c r="I32" s="67"/>
      <c r="J32" s="35"/>
      <c r="K32" s="35"/>
      <c r="L32" s="35"/>
      <c r="M32" s="35"/>
      <c r="N32" s="35"/>
      <c r="O32" s="35"/>
      <c r="P32" s="36"/>
      <c r="Q32" s="83"/>
      <c r="R32" s="84"/>
      <c r="S32" s="85"/>
      <c r="T32" s="84"/>
      <c r="U32" s="84"/>
      <c r="V32" s="84"/>
      <c r="W32" s="50"/>
      <c r="X32" s="50"/>
      <c r="Y32" s="50"/>
    </row>
    <row r="33" spans="1:30" x14ac:dyDescent="0.45">
      <c r="A33" s="67"/>
      <c r="B33" s="67" t="s">
        <v>48</v>
      </c>
      <c r="C33" s="67"/>
      <c r="D33" s="67"/>
      <c r="E33" s="67"/>
      <c r="F33" s="67"/>
      <c r="G33" s="67"/>
      <c r="H33" s="67"/>
      <c r="I33" s="67"/>
      <c r="J33" s="35"/>
      <c r="K33" s="35"/>
      <c r="L33" s="35"/>
      <c r="M33" s="35"/>
      <c r="N33" s="35"/>
      <c r="O33" s="35"/>
      <c r="P33" s="36"/>
      <c r="Q33" s="83"/>
      <c r="R33" s="84"/>
      <c r="S33" s="85"/>
      <c r="T33" s="84"/>
      <c r="U33" s="84"/>
      <c r="V33" s="84"/>
      <c r="W33" s="50"/>
      <c r="X33" s="50"/>
      <c r="Y33" s="50"/>
    </row>
    <row r="34" spans="1:30" x14ac:dyDescent="0.45">
      <c r="A34" s="83" t="s">
        <v>39</v>
      </c>
      <c r="B34" s="67" t="s">
        <v>47</v>
      </c>
      <c r="C34" s="67"/>
      <c r="D34" s="67"/>
      <c r="E34" s="67"/>
      <c r="F34" s="67"/>
      <c r="G34" s="67"/>
      <c r="H34" s="67"/>
      <c r="I34" s="67"/>
      <c r="J34" s="35"/>
      <c r="K34" s="35"/>
      <c r="L34" s="35"/>
      <c r="M34" s="35"/>
      <c r="N34" s="35"/>
      <c r="O34" s="35"/>
      <c r="P34" s="36"/>
      <c r="Q34" s="83"/>
      <c r="R34" s="84"/>
      <c r="S34" s="85"/>
      <c r="T34" s="84"/>
      <c r="U34" s="84"/>
      <c r="V34" s="84"/>
      <c r="W34" s="50"/>
      <c r="X34" s="50"/>
      <c r="Y34" s="50"/>
    </row>
    <row r="35" spans="1:30" x14ac:dyDescent="0.45">
      <c r="A35" s="83"/>
      <c r="B35" s="67"/>
      <c r="C35" s="67"/>
      <c r="D35" s="67"/>
      <c r="E35" s="67"/>
      <c r="F35" s="67"/>
      <c r="G35" s="67"/>
      <c r="H35" s="67"/>
      <c r="I35" s="67"/>
      <c r="J35" s="35"/>
      <c r="K35" s="35"/>
      <c r="L35" s="35"/>
      <c r="M35" s="35"/>
      <c r="N35" s="35"/>
      <c r="O35" s="35"/>
      <c r="P35" s="36"/>
      <c r="Q35" s="83"/>
      <c r="R35" s="84" t="s">
        <v>75</v>
      </c>
      <c r="S35" s="85"/>
      <c r="T35" s="84"/>
      <c r="U35" s="84"/>
      <c r="V35" s="84"/>
      <c r="W35" s="50"/>
      <c r="X35" s="50"/>
      <c r="Y35" s="50"/>
    </row>
    <row r="36" spans="1:30" x14ac:dyDescent="0.45">
      <c r="A36" s="74"/>
      <c r="B36" s="33"/>
      <c r="C36" s="34"/>
      <c r="D36" s="69"/>
      <c r="E36" s="69"/>
      <c r="F36" s="69"/>
      <c r="G36" s="35"/>
      <c r="H36" s="35"/>
      <c r="I36" s="35"/>
      <c r="J36" s="35"/>
      <c r="K36" s="35"/>
      <c r="L36" s="35"/>
      <c r="M36" s="35"/>
      <c r="N36" s="35"/>
      <c r="O36" s="35"/>
      <c r="P36" s="36"/>
      <c r="Q36" s="67"/>
      <c r="R36" s="67"/>
      <c r="S36" s="82"/>
      <c r="T36" s="67"/>
      <c r="U36" s="67"/>
      <c r="V36" s="67"/>
      <c r="W36" s="67"/>
      <c r="X36" s="67"/>
      <c r="Y36" s="67"/>
    </row>
    <row r="37" spans="1:30" x14ac:dyDescent="0.45">
      <c r="A37" s="45"/>
      <c r="B37" s="44" t="s">
        <v>73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6"/>
      <c r="R37" s="46"/>
      <c r="S37" s="46"/>
      <c r="T37" s="46"/>
      <c r="U37" s="46"/>
      <c r="V37" s="29"/>
      <c r="W37" s="46"/>
      <c r="X37" s="46"/>
      <c r="Y37" s="46"/>
      <c r="Z37" s="8"/>
      <c r="AA37" s="52"/>
      <c r="AB37" s="8"/>
      <c r="AC37" s="8"/>
      <c r="AD37" s="8"/>
    </row>
    <row r="38" spans="1:30" x14ac:dyDescent="0.45">
      <c r="A38" s="54" t="s">
        <v>28</v>
      </c>
      <c r="B38" s="64" t="s">
        <v>15</v>
      </c>
      <c r="C38" s="157" t="s">
        <v>11</v>
      </c>
      <c r="D38" s="17" t="s">
        <v>1</v>
      </c>
      <c r="E38" s="17" t="s">
        <v>2</v>
      </c>
      <c r="F38" s="17" t="s">
        <v>4</v>
      </c>
      <c r="G38" s="17" t="s">
        <v>3</v>
      </c>
      <c r="H38" s="17" t="s">
        <v>5</v>
      </c>
      <c r="I38" s="17" t="s">
        <v>20</v>
      </c>
      <c r="J38" s="17" t="s">
        <v>6</v>
      </c>
      <c r="K38" s="53" t="s">
        <v>53</v>
      </c>
      <c r="L38" s="12" t="s">
        <v>56</v>
      </c>
      <c r="M38" s="56" t="s">
        <v>57</v>
      </c>
      <c r="N38" s="60" t="s">
        <v>55</v>
      </c>
      <c r="O38" s="12" t="s">
        <v>14</v>
      </c>
      <c r="P38" s="14" t="s">
        <v>58</v>
      </c>
      <c r="Q38" s="51" t="s">
        <v>17</v>
      </c>
      <c r="R38" s="10" t="s">
        <v>61</v>
      </c>
      <c r="S38" s="10" t="s">
        <v>16</v>
      </c>
      <c r="T38" s="10" t="s">
        <v>17</v>
      </c>
      <c r="U38" s="164" t="s">
        <v>67</v>
      </c>
      <c r="V38" s="164"/>
      <c r="W38" s="13" t="s">
        <v>126</v>
      </c>
      <c r="X38" s="37"/>
      <c r="Y38" s="37"/>
      <c r="Z38" s="8"/>
      <c r="AA38" s="9"/>
      <c r="AB38" s="9"/>
      <c r="AC38" s="9"/>
      <c r="AD38" s="9"/>
    </row>
    <row r="39" spans="1:30" x14ac:dyDescent="0.45">
      <c r="A39" s="37" t="s">
        <v>52</v>
      </c>
      <c r="B39" s="87"/>
      <c r="C39" s="155" t="s">
        <v>39</v>
      </c>
      <c r="D39" s="16">
        <v>-1</v>
      </c>
      <c r="E39" s="16">
        <v>-1</v>
      </c>
      <c r="F39" s="16">
        <v>-1</v>
      </c>
      <c r="G39" s="18">
        <f t="shared" ref="G39:H46" si="13">D39*E39</f>
        <v>1</v>
      </c>
      <c r="H39" s="18">
        <f t="shared" si="13"/>
        <v>1</v>
      </c>
      <c r="I39" s="18">
        <f t="shared" ref="I39:I46" si="14">F39*D39</f>
        <v>1</v>
      </c>
      <c r="J39" s="18">
        <f t="shared" ref="J39:J46" si="15">D39*E39*F39</f>
        <v>-1</v>
      </c>
      <c r="K39" s="1">
        <f t="shared" ref="K39:K46" si="16">SUM(G10:N10)</f>
        <v>16.00009</v>
      </c>
      <c r="L39" s="57"/>
      <c r="M39" s="58">
        <f>POWER(2,__k-1)*__n</f>
        <v>8</v>
      </c>
      <c r="N39" s="61">
        <f>POWER(2,__k)*__n</f>
        <v>16</v>
      </c>
      <c r="O39" s="57"/>
      <c r="P39" s="62" t="s">
        <v>63</v>
      </c>
      <c r="Q39" s="51" t="s">
        <v>60</v>
      </c>
      <c r="R39" s="10" t="s">
        <v>62</v>
      </c>
      <c r="S39" s="10" t="s">
        <v>63</v>
      </c>
      <c r="T39" s="10" t="s">
        <v>60</v>
      </c>
      <c r="U39" s="11" t="s">
        <v>64</v>
      </c>
      <c r="V39" s="11" t="s">
        <v>65</v>
      </c>
      <c r="W39" s="21">
        <f>SUM(K39:K46)/(POWER(2,__k)*__n)</f>
        <v>11.06255756875</v>
      </c>
      <c r="X39" s="37"/>
      <c r="Y39" s="37"/>
      <c r="Z39" s="8"/>
      <c r="AA39" s="9"/>
      <c r="AB39" s="9"/>
      <c r="AC39" s="9"/>
      <c r="AD39" s="9"/>
    </row>
    <row r="40" spans="1:30" x14ac:dyDescent="0.45">
      <c r="A40" s="75"/>
      <c r="B40" s="87">
        <v>1</v>
      </c>
      <c r="C40" s="156" t="s">
        <v>119</v>
      </c>
      <c r="D40" s="16">
        <v>1</v>
      </c>
      <c r="E40" s="16">
        <v>-1</v>
      </c>
      <c r="F40" s="16">
        <v>-1</v>
      </c>
      <c r="G40" s="18">
        <f t="shared" si="13"/>
        <v>-1</v>
      </c>
      <c r="H40" s="18">
        <f t="shared" si="13"/>
        <v>1</v>
      </c>
      <c r="I40" s="18">
        <f t="shared" si="14"/>
        <v>-1</v>
      </c>
      <c r="J40" s="18">
        <f t="shared" si="15"/>
        <v>1</v>
      </c>
      <c r="K40" s="1">
        <f t="shared" si="16"/>
        <v>22.0001</v>
      </c>
      <c r="L40" s="2">
        <f>SUMPRODUCT(D39:D46,$K39:$K46)</f>
        <v>26.999618899999994</v>
      </c>
      <c r="M40" s="59">
        <f t="shared" ref="M40:M46" si="17">L40/$M$39</f>
        <v>3.3749523624999993</v>
      </c>
      <c r="N40" s="3">
        <f t="shared" ref="N40:N46" si="18">L40*L40/$N$39</f>
        <v>45.561213796577306</v>
      </c>
      <c r="O40" s="20">
        <f>N47/$B$47</f>
        <v>2.4373586295209559</v>
      </c>
      <c r="P40" s="4">
        <f t="shared" ref="P40:P46" si="19">N40/O$40</f>
        <v>18.692864170559918</v>
      </c>
      <c r="Q40" s="63">
        <f t="shared" ref="Q40:Q46" si="20">_xlfn.F.DIST.RT(P40,$B40,$B$47)</f>
        <v>2.5339985257180602E-3</v>
      </c>
      <c r="R40" s="23">
        <f t="shared" ref="R40:R46" si="21">SQRT(0.5*$O$40/__n)</f>
        <v>0.78060211207774666</v>
      </c>
      <c r="S40" s="23">
        <f t="shared" ref="S40:S46" si="22">M40/R40</f>
        <v>4.3235245079171136</v>
      </c>
      <c r="T40" s="23">
        <f>_xlfn.T.DIST.2T(ABS(S40),$B$47)</f>
        <v>2.5339985257180602E-3</v>
      </c>
      <c r="U40" s="19">
        <f t="shared" ref="U40:U46" si="23">M40-R40*_xlfn.T.INV.2T($T$49,$B$47)</f>
        <v>1.5748806640996087</v>
      </c>
      <c r="V40" s="19">
        <f t="shared" ref="V40:V46" si="24">M40+R40*_xlfn.T.INV.2T($T$49,$B$47)</f>
        <v>5.1750240609003901</v>
      </c>
      <c r="W40" s="21">
        <f>0.5*M40</f>
        <v>1.6874761812499997</v>
      </c>
      <c r="X40" s="96"/>
      <c r="Y40" s="96"/>
      <c r="Z40" s="8"/>
      <c r="AA40" s="15"/>
      <c r="AB40" s="15"/>
      <c r="AC40" s="15"/>
      <c r="AD40" s="15"/>
    </row>
    <row r="41" spans="1:30" x14ac:dyDescent="0.45">
      <c r="A41" s="71" t="s">
        <v>27</v>
      </c>
      <c r="B41" s="87">
        <v>1</v>
      </c>
      <c r="C41" s="156" t="s">
        <v>68</v>
      </c>
      <c r="D41" s="16">
        <v>-1</v>
      </c>
      <c r="E41" s="16">
        <v>1</v>
      </c>
      <c r="F41" s="16">
        <v>-1</v>
      </c>
      <c r="G41" s="18">
        <f t="shared" si="13"/>
        <v>-1</v>
      </c>
      <c r="H41" s="18">
        <f t="shared" si="13"/>
        <v>-1</v>
      </c>
      <c r="I41" s="18">
        <f t="shared" si="14"/>
        <v>1</v>
      </c>
      <c r="J41" s="18">
        <f t="shared" si="15"/>
        <v>1</v>
      </c>
      <c r="K41" s="1">
        <f>SUM(G12:N12)</f>
        <v>20.000029999999999</v>
      </c>
      <c r="L41" s="2">
        <f>SUMPRODUCT(E39:E46,$K39:$K46)</f>
        <v>13.000358899999995</v>
      </c>
      <c r="M41" s="59">
        <f t="shared" si="17"/>
        <v>1.6250448624999994</v>
      </c>
      <c r="N41" s="3">
        <f t="shared" si="18"/>
        <v>10.563083220550567</v>
      </c>
      <c r="O41" s="20">
        <f>O40</f>
        <v>2.4373586295209559</v>
      </c>
      <c r="P41" s="4">
        <f t="shared" si="19"/>
        <v>4.3338239570541406</v>
      </c>
      <c r="Q41" s="63">
        <f t="shared" si="20"/>
        <v>7.0918252369110091E-2</v>
      </c>
      <c r="R41" s="23">
        <f t="shared" si="21"/>
        <v>0.78060211207774666</v>
      </c>
      <c r="S41" s="23">
        <f t="shared" si="22"/>
        <v>2.0817838401366604</v>
      </c>
      <c r="T41" s="23">
        <f t="shared" ref="T41:T46" si="25">_xlfn.T.DIST.2T(ABS(S41),$B$47)</f>
        <v>7.0918252369110146E-2</v>
      </c>
      <c r="U41" s="19">
        <f t="shared" si="23"/>
        <v>-0.17502683590039125</v>
      </c>
      <c r="V41" s="19">
        <f t="shared" si="24"/>
        <v>3.4251165609003902</v>
      </c>
      <c r="W41" s="21">
        <f t="shared" ref="W41:W46" si="26">0.5*M41</f>
        <v>0.81252243124999968</v>
      </c>
      <c r="X41" s="96"/>
      <c r="Y41" s="96"/>
      <c r="Z41" s="8"/>
      <c r="AA41" s="15"/>
      <c r="AB41" s="15"/>
      <c r="AC41" s="15"/>
      <c r="AD41" s="15"/>
    </row>
    <row r="42" spans="1:30" x14ac:dyDescent="0.45">
      <c r="A42" s="75"/>
      <c r="B42" s="87">
        <v>1</v>
      </c>
      <c r="C42" s="156" t="s">
        <v>120</v>
      </c>
      <c r="D42" s="16">
        <v>-1</v>
      </c>
      <c r="E42" s="16">
        <v>-1</v>
      </c>
      <c r="F42" s="16">
        <v>1</v>
      </c>
      <c r="G42" s="18">
        <f t="shared" si="13"/>
        <v>1</v>
      </c>
      <c r="H42" s="18">
        <f t="shared" si="13"/>
        <v>-1</v>
      </c>
      <c r="I42" s="18">
        <f t="shared" si="14"/>
        <v>-1</v>
      </c>
      <c r="J42" s="18">
        <f t="shared" si="15"/>
        <v>1</v>
      </c>
      <c r="K42" s="1">
        <f t="shared" si="16"/>
        <v>21.000031100000001</v>
      </c>
      <c r="L42" s="2">
        <f>SUMPRODUCT(F39:F46,$K39:$K46)</f>
        <v>7.0004011000000048</v>
      </c>
      <c r="M42" s="59">
        <f t="shared" si="17"/>
        <v>0.8750501375000006</v>
      </c>
      <c r="N42" s="3">
        <f t="shared" si="18"/>
        <v>3.0628509725550797</v>
      </c>
      <c r="O42" s="20">
        <f t="shared" ref="O42:O46" si="27">O41</f>
        <v>2.4373586295209559</v>
      </c>
      <c r="P42" s="4">
        <f t="shared" si="19"/>
        <v>1.2566271271934486</v>
      </c>
      <c r="Q42" s="63">
        <f t="shared" si="20"/>
        <v>0.29481015499470198</v>
      </c>
      <c r="R42" s="23">
        <f t="shared" si="21"/>
        <v>0.78060211207774666</v>
      </c>
      <c r="S42" s="23">
        <f t="shared" si="22"/>
        <v>1.1209938122904375</v>
      </c>
      <c r="T42" s="23">
        <f t="shared" si="25"/>
        <v>0.29481015499470198</v>
      </c>
      <c r="U42" s="19">
        <f t="shared" si="23"/>
        <v>-0.92502156090039001</v>
      </c>
      <c r="V42" s="19">
        <f t="shared" si="24"/>
        <v>2.6751218359003914</v>
      </c>
      <c r="W42" s="21">
        <f t="shared" si="26"/>
        <v>0.4375250687500003</v>
      </c>
      <c r="X42" s="96"/>
      <c r="Y42" s="96"/>
      <c r="Z42" s="8"/>
      <c r="AA42" s="15"/>
      <c r="AB42" s="15"/>
      <c r="AC42" s="15"/>
      <c r="AD42" s="15"/>
    </row>
    <row r="43" spans="1:30" x14ac:dyDescent="0.45">
      <c r="A43" s="55"/>
      <c r="B43" s="87">
        <v>1</v>
      </c>
      <c r="C43" s="156" t="s">
        <v>121</v>
      </c>
      <c r="D43" s="16">
        <v>1</v>
      </c>
      <c r="E43" s="16">
        <v>1</v>
      </c>
      <c r="F43" s="16">
        <v>-1</v>
      </c>
      <c r="G43" s="18">
        <f t="shared" si="13"/>
        <v>1</v>
      </c>
      <c r="H43" s="18">
        <f t="shared" si="13"/>
        <v>-1</v>
      </c>
      <c r="I43" s="18">
        <f t="shared" si="14"/>
        <v>-1</v>
      </c>
      <c r="J43" s="18">
        <f t="shared" si="15"/>
        <v>-1</v>
      </c>
      <c r="K43" s="1">
        <f t="shared" si="16"/>
        <v>27.000039999999998</v>
      </c>
      <c r="L43" s="2">
        <f>SUMPRODUCT(G39:G46,$K39:$K46)</f>
        <v>10.999541100000002</v>
      </c>
      <c r="M43" s="59">
        <f t="shared" si="17"/>
        <v>1.3749426375000002</v>
      </c>
      <c r="N43" s="3">
        <f t="shared" si="18"/>
        <v>7.5618690256618279</v>
      </c>
      <c r="O43" s="20">
        <f t="shared" si="27"/>
        <v>2.4373586295209559</v>
      </c>
      <c r="P43" s="4">
        <f t="shared" si="19"/>
        <v>3.102485179683244</v>
      </c>
      <c r="Q43" s="63">
        <f t="shared" si="20"/>
        <v>0.11620103872029167</v>
      </c>
      <c r="R43" s="23">
        <f t="shared" si="21"/>
        <v>0.78060211207774666</v>
      </c>
      <c r="S43" s="23">
        <f t="shared" si="22"/>
        <v>1.7613872883847108</v>
      </c>
      <c r="T43" s="23">
        <f t="shared" si="25"/>
        <v>0.11620103872029167</v>
      </c>
      <c r="U43" s="19">
        <f t="shared" si="23"/>
        <v>-0.42512906090039038</v>
      </c>
      <c r="V43" s="19">
        <f t="shared" si="24"/>
        <v>3.1750143359003911</v>
      </c>
      <c r="W43" s="21">
        <f t="shared" si="26"/>
        <v>0.68747131875000012</v>
      </c>
      <c r="X43" s="96"/>
      <c r="Y43" s="101"/>
      <c r="Z43" s="8"/>
      <c r="AA43" s="15"/>
      <c r="AB43" s="15"/>
      <c r="AC43" s="15"/>
      <c r="AD43" s="15"/>
    </row>
    <row r="44" spans="1:30" x14ac:dyDescent="0.45">
      <c r="A44" s="54" t="s">
        <v>25</v>
      </c>
      <c r="B44" s="87">
        <v>1</v>
      </c>
      <c r="C44" s="156" t="s">
        <v>122</v>
      </c>
      <c r="D44" s="16">
        <v>-1</v>
      </c>
      <c r="E44" s="16">
        <v>1</v>
      </c>
      <c r="F44" s="16">
        <v>1</v>
      </c>
      <c r="G44" s="18">
        <f t="shared" si="13"/>
        <v>-1</v>
      </c>
      <c r="H44" s="18">
        <f t="shared" si="13"/>
        <v>1</v>
      </c>
      <c r="I44" s="18">
        <f t="shared" si="14"/>
        <v>-1</v>
      </c>
      <c r="J44" s="18">
        <f t="shared" si="15"/>
        <v>-1</v>
      </c>
      <c r="K44" s="1">
        <f t="shared" si="16"/>
        <v>18.000500000000002</v>
      </c>
      <c r="L44" s="2">
        <f>SUMPRODUCT(H39:H46,$K39:$K46)</f>
        <v>-4.9994010999999929</v>
      </c>
      <c r="M44" s="59">
        <f t="shared" si="17"/>
        <v>-0.62492513749999912</v>
      </c>
      <c r="N44" s="3">
        <f t="shared" si="18"/>
        <v>1.5621257099175712</v>
      </c>
      <c r="O44" s="20">
        <f t="shared" si="27"/>
        <v>2.4373586295209559</v>
      </c>
      <c r="P44" s="4">
        <f t="shared" si="19"/>
        <v>0.6409092576682468</v>
      </c>
      <c r="Q44" s="63">
        <f t="shared" si="20"/>
        <v>0.44650265921062771</v>
      </c>
      <c r="R44" s="23">
        <f t="shared" si="21"/>
        <v>0.78060211207774666</v>
      </c>
      <c r="S44" s="23">
        <f t="shared" si="22"/>
        <v>-0.80056808434276649</v>
      </c>
      <c r="T44" s="23">
        <f t="shared" si="25"/>
        <v>0.44650265921062771</v>
      </c>
      <c r="U44" s="19">
        <f t="shared" si="23"/>
        <v>-2.4249968359003899</v>
      </c>
      <c r="V44" s="19">
        <f t="shared" si="24"/>
        <v>1.1751465609003915</v>
      </c>
      <c r="W44" s="21">
        <f t="shared" si="26"/>
        <v>-0.31246256874999956</v>
      </c>
      <c r="X44" s="67"/>
      <c r="Y44" s="67"/>
      <c r="AB44" s="15"/>
      <c r="AC44" s="15"/>
      <c r="AD44" s="15"/>
    </row>
    <row r="45" spans="1:30" x14ac:dyDescent="0.45">
      <c r="A45" s="55"/>
      <c r="B45" s="87">
        <v>1</v>
      </c>
      <c r="C45" s="156" t="s">
        <v>123</v>
      </c>
      <c r="D45" s="16">
        <v>1</v>
      </c>
      <c r="E45" s="16">
        <v>-1</v>
      </c>
      <c r="F45" s="16">
        <v>1</v>
      </c>
      <c r="G45" s="18">
        <f t="shared" si="13"/>
        <v>-1</v>
      </c>
      <c r="H45" s="18">
        <f t="shared" si="13"/>
        <v>-1</v>
      </c>
      <c r="I45" s="18">
        <f t="shared" si="14"/>
        <v>1</v>
      </c>
      <c r="J45" s="18">
        <f t="shared" si="15"/>
        <v>-1</v>
      </c>
      <c r="K45" s="1">
        <f t="shared" si="16"/>
        <v>23.000059999999998</v>
      </c>
      <c r="L45" s="2">
        <f>SUMPRODUCT(I39:I46,$K39:$K46)</f>
        <v>0.99957889999999594</v>
      </c>
      <c r="M45" s="59">
        <f t="shared" si="17"/>
        <v>0.12494736249999949</v>
      </c>
      <c r="N45" s="3">
        <f t="shared" si="18"/>
        <v>6.2447373582825115E-2</v>
      </c>
      <c r="O45" s="20">
        <f t="shared" si="27"/>
        <v>2.4373586295209559</v>
      </c>
      <c r="P45" s="4">
        <f t="shared" si="19"/>
        <v>2.5620921281944736E-2</v>
      </c>
      <c r="Q45" s="63">
        <f t="shared" si="20"/>
        <v>0.87679733052213371</v>
      </c>
      <c r="R45" s="23">
        <f t="shared" si="21"/>
        <v>0.78060211207774666</v>
      </c>
      <c r="S45" s="23">
        <f t="shared" si="22"/>
        <v>0.16006536565398755</v>
      </c>
      <c r="T45" s="23">
        <f t="shared" si="25"/>
        <v>0.87679733052213371</v>
      </c>
      <c r="U45" s="19">
        <f t="shared" si="23"/>
        <v>-1.6751243359003911</v>
      </c>
      <c r="V45" s="19">
        <f t="shared" si="24"/>
        <v>1.9250190609003901</v>
      </c>
      <c r="W45" s="21">
        <f t="shared" si="26"/>
        <v>6.2473681249999746E-2</v>
      </c>
      <c r="X45" s="67"/>
      <c r="Y45" s="67"/>
      <c r="AB45" s="15"/>
      <c r="AC45" s="15"/>
      <c r="AD45" s="15"/>
    </row>
    <row r="46" spans="1:30" x14ac:dyDescent="0.45">
      <c r="A46" s="71" t="s">
        <v>26</v>
      </c>
      <c r="B46" s="87">
        <v>1</v>
      </c>
      <c r="C46" s="156" t="s">
        <v>124</v>
      </c>
      <c r="D46" s="16">
        <v>1</v>
      </c>
      <c r="E46" s="16">
        <v>1</v>
      </c>
      <c r="F46" s="16">
        <v>1</v>
      </c>
      <c r="G46" s="18">
        <f t="shared" si="13"/>
        <v>1</v>
      </c>
      <c r="H46" s="18">
        <f t="shared" si="13"/>
        <v>1</v>
      </c>
      <c r="I46" s="18">
        <f t="shared" si="14"/>
        <v>1</v>
      </c>
      <c r="J46" s="18">
        <f t="shared" si="15"/>
        <v>1</v>
      </c>
      <c r="K46" s="1">
        <f t="shared" si="16"/>
        <v>30.000070000000001</v>
      </c>
      <c r="L46" s="2">
        <f>SUMPRODUCT(J39:J46,$K39:$K46)</f>
        <v>8.9995411000000018</v>
      </c>
      <c r="M46" s="59">
        <f t="shared" si="17"/>
        <v>1.1249426375000002</v>
      </c>
      <c r="N46" s="3">
        <f t="shared" si="18"/>
        <v>5.0619837506618275</v>
      </c>
      <c r="O46" s="20">
        <f t="shared" si="27"/>
        <v>2.4373586295209559</v>
      </c>
      <c r="P46" s="4">
        <f t="shared" si="19"/>
        <v>2.076831734711408</v>
      </c>
      <c r="Q46" s="63">
        <f t="shared" si="20"/>
        <v>0.18752093696760294</v>
      </c>
      <c r="R46" s="23">
        <f t="shared" si="21"/>
        <v>0.78060211207774666</v>
      </c>
      <c r="S46" s="23">
        <f t="shared" si="22"/>
        <v>1.4411216932346167</v>
      </c>
      <c r="T46" s="23">
        <f t="shared" si="25"/>
        <v>0.18752093696760272</v>
      </c>
      <c r="U46" s="19">
        <f t="shared" si="23"/>
        <v>-0.67512906090039038</v>
      </c>
      <c r="V46" s="19">
        <f t="shared" si="24"/>
        <v>2.9250143359003911</v>
      </c>
      <c r="W46" s="21">
        <f t="shared" si="26"/>
        <v>0.56247131875000012</v>
      </c>
      <c r="X46" s="67"/>
      <c r="Y46" s="67"/>
      <c r="AB46" s="15"/>
      <c r="AC46" s="15"/>
      <c r="AD46" s="15"/>
    </row>
    <row r="47" spans="1:30" s="8" customFormat="1" x14ac:dyDescent="0.45">
      <c r="A47" s="47" t="s">
        <v>59</v>
      </c>
      <c r="B47" s="49">
        <f>B48-SUM(B40:B46)</f>
        <v>8</v>
      </c>
      <c r="C47" s="122"/>
      <c r="D47" s="123"/>
      <c r="E47" s="124"/>
      <c r="F47" s="124"/>
      <c r="G47" s="124"/>
      <c r="H47" s="125"/>
      <c r="I47" s="125"/>
      <c r="J47" s="125"/>
      <c r="K47" s="125"/>
      <c r="L47" s="126"/>
      <c r="M47" s="47"/>
      <c r="N47" s="127">
        <f>N48-SUM(N40:N46)</f>
        <v>19.498869036167648</v>
      </c>
      <c r="O47" s="67"/>
      <c r="P47" s="35"/>
      <c r="Q47" s="67"/>
      <c r="R47" s="35"/>
      <c r="S47" s="35"/>
      <c r="T47" s="133"/>
      <c r="U47" s="133"/>
      <c r="V47" s="133"/>
      <c r="W47" s="96"/>
      <c r="X47" s="67"/>
      <c r="Y47" s="67"/>
      <c r="AB47" s="15"/>
      <c r="AC47" s="15"/>
      <c r="AD47" s="15"/>
    </row>
    <row r="48" spans="1:30" s="8" customFormat="1" x14ac:dyDescent="0.45">
      <c r="A48" s="64" t="s">
        <v>53</v>
      </c>
      <c r="B48" s="116">
        <f>POWER(2,__k)*__n-1</f>
        <v>15</v>
      </c>
      <c r="C48" s="117"/>
      <c r="D48" s="118"/>
      <c r="E48" s="119"/>
      <c r="F48" s="119"/>
      <c r="G48" s="119"/>
      <c r="H48" s="120"/>
      <c r="I48" s="120"/>
      <c r="J48" s="120"/>
      <c r="K48" s="120"/>
      <c r="L48" s="121"/>
      <c r="M48" s="64"/>
      <c r="N48" s="121">
        <f>DEVSQ(G10:N17)</f>
        <v>92.934442885674642</v>
      </c>
      <c r="O48" s="67"/>
      <c r="P48" s="110" t="s">
        <v>116</v>
      </c>
      <c r="Q48" s="67"/>
      <c r="R48" s="47" t="s">
        <v>117</v>
      </c>
      <c r="S48" s="35"/>
      <c r="T48" s="62" t="s">
        <v>21</v>
      </c>
      <c r="U48" s="163" t="s">
        <v>66</v>
      </c>
      <c r="V48" s="163"/>
      <c r="W48" s="96"/>
      <c r="X48" s="67"/>
      <c r="Y48" s="67"/>
      <c r="AA48" s="15"/>
      <c r="AB48" s="15"/>
      <c r="AC48" s="15"/>
      <c r="AD48" s="15"/>
    </row>
    <row r="49" spans="1:30" s="8" customFormat="1" x14ac:dyDescent="0.45">
      <c r="A49" s="71" t="s">
        <v>115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32">
        <f>SUM(N40:N46)</f>
        <v>73.435573849506994</v>
      </c>
      <c r="O49" s="67"/>
      <c r="P49" s="129">
        <f>N49/N48</f>
        <v>0.79018684106005121</v>
      </c>
      <c r="Q49" s="67"/>
      <c r="R49" s="130">
        <f>1-(N47/B47)/(N48/B48)</f>
        <v>0.60660032698759592</v>
      </c>
      <c r="S49" s="35"/>
      <c r="T49" s="76">
        <v>0.05</v>
      </c>
      <c r="U49" s="162">
        <f>1-T49</f>
        <v>0.95</v>
      </c>
      <c r="V49" s="162"/>
      <c r="W49" s="96"/>
      <c r="X49" s="67"/>
      <c r="Y49" s="67"/>
      <c r="AA49" s="15"/>
      <c r="AB49" s="15"/>
      <c r="AC49" s="15"/>
      <c r="AD49" s="15"/>
    </row>
    <row r="50" spans="1:30" s="8" customFormat="1" x14ac:dyDescent="0.45">
      <c r="A50" s="67"/>
      <c r="B50" s="66" t="s">
        <v>83</v>
      </c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35"/>
      <c r="Q50" s="67"/>
      <c r="R50" s="35"/>
      <c r="S50" s="35"/>
      <c r="T50" s="35"/>
      <c r="U50" s="67"/>
      <c r="V50" s="96"/>
      <c r="W50" s="96"/>
      <c r="X50" s="67"/>
      <c r="Y50" s="67"/>
      <c r="AA50" s="15"/>
      <c r="AB50" s="15"/>
      <c r="AC50" s="15"/>
      <c r="AD50" s="15"/>
    </row>
    <row r="51" spans="1:30" s="8" customFormat="1" x14ac:dyDescent="0.45">
      <c r="A51" s="109" t="s">
        <v>39</v>
      </c>
      <c r="B51" s="67" t="s">
        <v>86</v>
      </c>
      <c r="C51" s="67"/>
      <c r="D51" s="67"/>
      <c r="E51" s="67"/>
      <c r="F51" s="109" t="s">
        <v>39</v>
      </c>
      <c r="G51" s="67" t="s">
        <v>91</v>
      </c>
      <c r="H51" s="67"/>
      <c r="I51" s="67"/>
      <c r="J51" s="67"/>
      <c r="K51" s="109" t="s">
        <v>39</v>
      </c>
      <c r="L51" s="67" t="s">
        <v>94</v>
      </c>
      <c r="M51" s="67"/>
      <c r="N51" s="67"/>
      <c r="O51" s="67"/>
      <c r="P51" s="35"/>
      <c r="Q51" s="67"/>
      <c r="R51" s="35"/>
      <c r="S51" s="35"/>
      <c r="T51" s="35"/>
      <c r="U51" s="67"/>
      <c r="V51" s="96"/>
      <c r="W51" s="96"/>
      <c r="X51" s="67"/>
      <c r="Y51" s="67"/>
      <c r="AA51" s="15"/>
      <c r="AB51" s="15"/>
      <c r="AC51" s="15"/>
      <c r="AD51" s="15"/>
    </row>
    <row r="52" spans="1:30" s="8" customFormat="1" x14ac:dyDescent="0.45">
      <c r="A52" s="83"/>
      <c r="B52" s="67" t="s">
        <v>87</v>
      </c>
      <c r="C52" s="67"/>
      <c r="D52" s="67"/>
      <c r="E52" s="67"/>
      <c r="F52" s="83"/>
      <c r="G52" s="67" t="s">
        <v>92</v>
      </c>
      <c r="H52" s="67"/>
      <c r="I52" s="67"/>
      <c r="J52" s="67"/>
      <c r="K52" s="109" t="s">
        <v>39</v>
      </c>
      <c r="L52" s="67" t="s">
        <v>95</v>
      </c>
      <c r="M52" s="67"/>
      <c r="N52" s="67"/>
      <c r="O52" s="67"/>
      <c r="P52" s="35"/>
      <c r="Q52" s="67"/>
      <c r="R52" s="35"/>
      <c r="S52" s="35"/>
      <c r="T52" s="35"/>
      <c r="U52" s="67"/>
      <c r="V52" s="96"/>
      <c r="W52" s="96"/>
      <c r="X52" s="67"/>
      <c r="Y52" s="67"/>
      <c r="AA52" s="15"/>
      <c r="AB52" s="15"/>
      <c r="AC52" s="15"/>
      <c r="AD52" s="15"/>
    </row>
    <row r="53" spans="1:30" s="8" customFormat="1" x14ac:dyDescent="0.45">
      <c r="A53" s="109" t="s">
        <v>39</v>
      </c>
      <c r="B53" s="67" t="s">
        <v>88</v>
      </c>
      <c r="C53" s="67"/>
      <c r="D53" s="67"/>
      <c r="E53" s="67"/>
      <c r="F53" s="67"/>
      <c r="G53" s="67" t="s">
        <v>93</v>
      </c>
      <c r="H53" s="67"/>
      <c r="I53" s="67"/>
      <c r="J53" s="67"/>
      <c r="K53" s="109" t="s">
        <v>39</v>
      </c>
      <c r="L53" s="67" t="s">
        <v>96</v>
      </c>
      <c r="M53" s="67"/>
      <c r="N53" s="67"/>
      <c r="O53" s="67"/>
      <c r="P53" s="35"/>
      <c r="Q53" s="67"/>
      <c r="R53" s="35"/>
      <c r="S53" s="35"/>
      <c r="T53" s="35"/>
      <c r="U53" s="67"/>
      <c r="V53" s="96"/>
      <c r="W53" s="96"/>
      <c r="X53" s="67"/>
      <c r="Y53" s="67"/>
      <c r="AA53" s="15"/>
      <c r="AB53" s="15"/>
      <c r="AC53" s="15"/>
      <c r="AD53" s="15"/>
    </row>
    <row r="54" spans="1:30" s="8" customFormat="1" x14ac:dyDescent="0.45">
      <c r="A54" s="83"/>
      <c r="B54" s="67" t="s">
        <v>90</v>
      </c>
      <c r="C54" s="67"/>
      <c r="D54" s="67"/>
      <c r="E54" s="67"/>
      <c r="F54" s="109" t="s">
        <v>39</v>
      </c>
      <c r="G54" s="67" t="s">
        <v>84</v>
      </c>
      <c r="H54" s="67"/>
      <c r="I54" s="67"/>
      <c r="J54" s="67"/>
      <c r="K54" s="109" t="s">
        <v>39</v>
      </c>
      <c r="L54" s="67" t="s">
        <v>97</v>
      </c>
      <c r="M54" s="67"/>
      <c r="N54" s="67"/>
      <c r="O54" s="67"/>
      <c r="P54" s="35"/>
      <c r="Q54" s="67"/>
      <c r="R54" s="35"/>
      <c r="S54" s="35"/>
      <c r="T54" s="35"/>
      <c r="U54" s="67"/>
      <c r="V54" s="96"/>
      <c r="W54" s="96"/>
      <c r="X54" s="67"/>
      <c r="Y54" s="67"/>
      <c r="AA54" s="15"/>
      <c r="AB54" s="15"/>
      <c r="AC54" s="15"/>
      <c r="AD54" s="15"/>
    </row>
    <row r="55" spans="1:30" s="8" customFormat="1" x14ac:dyDescent="0.45">
      <c r="A55" s="83"/>
      <c r="B55" s="67" t="s">
        <v>89</v>
      </c>
      <c r="C55" s="67"/>
      <c r="D55" s="67"/>
      <c r="E55" s="67"/>
      <c r="F55" s="83"/>
      <c r="G55" s="67" t="s">
        <v>85</v>
      </c>
      <c r="H55" s="67"/>
      <c r="I55" s="67"/>
      <c r="J55" s="67"/>
      <c r="K55" s="109" t="s">
        <v>39</v>
      </c>
      <c r="L55" s="67" t="s">
        <v>98</v>
      </c>
      <c r="M55" s="67"/>
      <c r="N55" s="67"/>
      <c r="O55" s="67"/>
      <c r="P55" s="35"/>
      <c r="Q55" s="67"/>
      <c r="R55" s="35"/>
      <c r="S55" s="35"/>
      <c r="T55" s="35"/>
      <c r="U55" s="67"/>
      <c r="V55" s="96"/>
      <c r="W55" s="96"/>
      <c r="X55" s="67"/>
      <c r="Y55" s="67"/>
      <c r="AA55" s="15"/>
      <c r="AB55" s="15"/>
      <c r="AC55" s="15"/>
      <c r="AD55" s="15"/>
    </row>
    <row r="56" spans="1:30" s="8" customFormat="1" x14ac:dyDescent="0.45">
      <c r="A56" s="88"/>
      <c r="B56" s="67"/>
      <c r="C56" s="33"/>
      <c r="D56" s="34"/>
      <c r="E56" s="69"/>
      <c r="F56" s="69"/>
      <c r="G56" s="69"/>
      <c r="H56" s="70"/>
      <c r="I56" s="70"/>
      <c r="J56" s="70"/>
      <c r="K56" s="70"/>
      <c r="L56" s="35"/>
      <c r="M56" s="67"/>
      <c r="N56" s="67"/>
      <c r="O56" s="35"/>
      <c r="P56" s="35"/>
      <c r="Q56" s="35"/>
      <c r="R56" s="35"/>
      <c r="S56" s="35"/>
      <c r="T56" s="35"/>
      <c r="U56" s="67"/>
      <c r="V56" s="96"/>
      <c r="W56" s="96"/>
      <c r="X56" s="67"/>
      <c r="Y56" s="67"/>
      <c r="AA56" s="15"/>
      <c r="AB56" s="15"/>
      <c r="AC56" s="15"/>
      <c r="AD56" s="15"/>
    </row>
    <row r="57" spans="1:30" x14ac:dyDescent="0.45">
      <c r="A57" s="45"/>
      <c r="B57" s="44" t="s">
        <v>74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30" x14ac:dyDescent="0.45">
      <c r="A58" s="3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37"/>
      <c r="M58" s="67"/>
      <c r="N58" s="3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</row>
    <row r="59" spans="1:30" x14ac:dyDescent="0.45">
      <c r="A59" s="67"/>
      <c r="B59" s="67"/>
      <c r="C59" s="67"/>
      <c r="E59" s="89">
        <v>0</v>
      </c>
      <c r="F59" s="89">
        <v>1</v>
      </c>
      <c r="G59" s="89">
        <v>2</v>
      </c>
      <c r="H59" s="89">
        <v>3</v>
      </c>
      <c r="I59" s="89">
        <v>4</v>
      </c>
      <c r="J59" s="89">
        <v>5</v>
      </c>
      <c r="K59" s="89">
        <v>6</v>
      </c>
      <c r="L59" s="37"/>
      <c r="M59" s="67"/>
      <c r="N59" s="131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</row>
    <row r="60" spans="1:30" x14ac:dyDescent="0.45">
      <c r="A60" s="89"/>
      <c r="B60" s="67"/>
      <c r="C60" s="67"/>
      <c r="D60" s="108" t="s">
        <v>52</v>
      </c>
      <c r="E60" s="166" t="s">
        <v>76</v>
      </c>
      <c r="F60" s="166"/>
      <c r="G60" s="166"/>
      <c r="H60" s="167" t="s">
        <v>77</v>
      </c>
      <c r="I60" s="167"/>
      <c r="J60" s="167"/>
      <c r="K60" s="106" t="s">
        <v>26</v>
      </c>
      <c r="L60" s="37"/>
      <c r="M60" s="135"/>
      <c r="N60" s="136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30" x14ac:dyDescent="0.45">
      <c r="A61" s="89"/>
      <c r="B61" s="67"/>
      <c r="C61" s="67"/>
      <c r="D61" s="37" t="s">
        <v>39</v>
      </c>
      <c r="E61" s="37" t="s">
        <v>119</v>
      </c>
      <c r="F61" s="37" t="s">
        <v>68</v>
      </c>
      <c r="G61" s="37" t="s">
        <v>120</v>
      </c>
      <c r="H61" s="37" t="s">
        <v>121</v>
      </c>
      <c r="I61" s="37" t="s">
        <v>122</v>
      </c>
      <c r="J61" s="37" t="s">
        <v>123</v>
      </c>
      <c r="K61" s="37" t="s">
        <v>124</v>
      </c>
      <c r="L61" s="37"/>
      <c r="M61" s="67"/>
      <c r="N61" s="131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</row>
    <row r="62" spans="1:30" x14ac:dyDescent="0.45">
      <c r="A62" s="89"/>
      <c r="B62" s="38" t="s">
        <v>81</v>
      </c>
      <c r="C62" s="67"/>
      <c r="D62" s="96">
        <f>AVERAGE(G10:N17)</f>
        <v>11.06255756875</v>
      </c>
      <c r="E62" s="96">
        <f t="shared" ref="E62:K62" ca="1" si="28">0.5*OFFSET($M$40,E$59,$A60)</f>
        <v>1.6874761812499997</v>
      </c>
      <c r="F62" s="96">
        <f t="shared" ca="1" si="28"/>
        <v>0.81252243124999968</v>
      </c>
      <c r="G62" s="96">
        <f t="shared" ca="1" si="28"/>
        <v>0.4375250687500003</v>
      </c>
      <c r="H62" s="96">
        <f t="shared" ca="1" si="28"/>
        <v>0.68747131875000012</v>
      </c>
      <c r="I62" s="96">
        <f t="shared" ca="1" si="28"/>
        <v>-0.31246256874999956</v>
      </c>
      <c r="J62" s="96">
        <f t="shared" ca="1" si="28"/>
        <v>6.2473681249999746E-2</v>
      </c>
      <c r="K62" s="96">
        <f t="shared" ca="1" si="28"/>
        <v>0.56247131875000012</v>
      </c>
      <c r="L62" s="37"/>
      <c r="M62" s="67"/>
      <c r="N62" s="67"/>
      <c r="P62" s="131" t="str">
        <f>f_a</f>
        <v>Feed Rate</v>
      </c>
      <c r="Q62" s="74"/>
      <c r="R62" s="67"/>
      <c r="S62" s="142" t="s">
        <v>129</v>
      </c>
      <c r="T62" s="142" t="s">
        <v>130</v>
      </c>
      <c r="U62" s="143"/>
      <c r="V62" s="142" t="s">
        <v>128</v>
      </c>
      <c r="W62" s="67"/>
      <c r="X62" s="159" t="s">
        <v>79</v>
      </c>
      <c r="Y62" s="159"/>
    </row>
    <row r="63" spans="1:30" x14ac:dyDescent="0.45">
      <c r="A63" s="89"/>
      <c r="B63" s="37"/>
      <c r="C63" s="67"/>
      <c r="D63" s="103"/>
      <c r="E63" s="103"/>
      <c r="F63" s="103"/>
      <c r="G63" s="103"/>
      <c r="H63" s="103"/>
      <c r="I63" s="103"/>
      <c r="J63" s="103"/>
      <c r="K63" s="67"/>
      <c r="L63" s="37"/>
      <c r="M63" s="131"/>
      <c r="N63" s="67"/>
      <c r="O63" s="66" t="s">
        <v>70</v>
      </c>
      <c r="P63" s="74">
        <v>-1</v>
      </c>
      <c r="Q63" s="104"/>
      <c r="R63" s="67"/>
      <c r="S63" s="144">
        <f>f_a_min</f>
        <v>40</v>
      </c>
      <c r="T63" s="144">
        <f>f_a_max</f>
        <v>60</v>
      </c>
      <c r="U63" s="143"/>
      <c r="V63" s="144">
        <f>( f_a_max - f_a_min ) * ( 0.5 * ( A_ + 1 ) ) + f_a_min</f>
        <v>40</v>
      </c>
      <c r="W63" s="67"/>
      <c r="X63" s="67"/>
      <c r="Y63" s="67"/>
    </row>
    <row r="64" spans="1:30" x14ac:dyDescent="0.45">
      <c r="A64" s="89"/>
      <c r="B64" s="38" t="s">
        <v>80</v>
      </c>
      <c r="C64" s="89"/>
      <c r="D64" s="89"/>
      <c r="E64" s="89"/>
      <c r="F64" s="89"/>
      <c r="G64" s="89"/>
      <c r="H64" s="89"/>
      <c r="I64" s="89"/>
      <c r="J64" s="89"/>
      <c r="K64" s="89"/>
      <c r="M64" s="131" t="s">
        <v>127</v>
      </c>
      <c r="N64" s="67"/>
      <c r="P64" s="131" t="str">
        <f>f_b</f>
        <v>Depth</v>
      </c>
      <c r="Q64" s="74"/>
      <c r="R64" s="67"/>
      <c r="S64" s="144"/>
      <c r="T64" s="144"/>
      <c r="U64" s="145"/>
      <c r="V64" s="146"/>
      <c r="W64" s="67"/>
      <c r="X64" s="159" t="str">
        <f>r_name</f>
        <v>Surface Finish</v>
      </c>
      <c r="Y64" s="159"/>
    </row>
    <row r="65" spans="1:25" x14ac:dyDescent="0.45">
      <c r="A65" s="89"/>
      <c r="B65" s="107" t="s">
        <v>125</v>
      </c>
      <c r="C65" s="107"/>
      <c r="D65" s="107"/>
      <c r="E65" s="107"/>
      <c r="F65" s="107"/>
      <c r="G65" s="107"/>
      <c r="H65" s="107"/>
      <c r="I65" s="107"/>
      <c r="J65" s="107"/>
      <c r="K65" s="67"/>
      <c r="L65" s="67"/>
      <c r="M65" s="131" t="s">
        <v>78</v>
      </c>
      <c r="N65" s="67"/>
      <c r="O65" s="66" t="s">
        <v>71</v>
      </c>
      <c r="P65" s="74">
        <v>1</v>
      </c>
      <c r="Q65" s="74"/>
      <c r="R65" s="67"/>
      <c r="S65" s="144">
        <f>f_b_min</f>
        <v>3.5</v>
      </c>
      <c r="T65" s="144">
        <f>f_b_max</f>
        <v>7</v>
      </c>
      <c r="U65" s="143"/>
      <c r="V65" s="144">
        <f>( f_b_max - f_b_min ) * ( 0.5 * ( B_ + 1 ) ) + f_b_min</f>
        <v>7</v>
      </c>
      <c r="W65" s="67"/>
      <c r="X65" s="160">
        <f ca="1">_o+_a*A_+_b*B_+_c*C_+_ab*A_*B_+_bc*B_*C_+_ca*C_*A_+_abc*A_*B_*C_</f>
        <v>9.0002499999999976</v>
      </c>
      <c r="Y65" s="160"/>
    </row>
    <row r="66" spans="1:25" x14ac:dyDescent="0.4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P66" s="131" t="str">
        <f>f_c</f>
        <v>Angle</v>
      </c>
      <c r="Q66" s="74"/>
      <c r="R66" s="67"/>
      <c r="S66" s="144"/>
      <c r="T66" s="144"/>
      <c r="U66" s="143"/>
      <c r="V66" s="143"/>
      <c r="W66" s="67"/>
      <c r="X66" s="161" t="str">
        <f>r_units</f>
        <v>um</v>
      </c>
      <c r="Y66" s="161"/>
    </row>
    <row r="67" spans="1:25" x14ac:dyDescent="0.45">
      <c r="A67" s="67"/>
      <c r="B67" s="67"/>
      <c r="C67" s="67"/>
      <c r="D67" s="165">
        <f ca="1">_o-_a+_b+_c-_ab+_bc-_ca-_abc</f>
        <v>9.0002499999999976</v>
      </c>
      <c r="E67" s="165"/>
      <c r="F67" s="165"/>
      <c r="G67" s="67"/>
      <c r="H67" s="165">
        <f ca="1">_o+_a+_b+_c+_ab+_bc+_ca+_abc</f>
        <v>15.000035</v>
      </c>
      <c r="I67" s="165"/>
      <c r="J67" s="165"/>
      <c r="K67" s="67"/>
      <c r="L67" s="67"/>
      <c r="M67" s="89"/>
      <c r="N67" s="67"/>
      <c r="O67" s="66" t="s">
        <v>72</v>
      </c>
      <c r="P67" s="74">
        <v>1</v>
      </c>
      <c r="Q67" s="74"/>
      <c r="R67" s="103"/>
      <c r="S67" s="144">
        <f>f_c_min</f>
        <v>1.5</v>
      </c>
      <c r="T67" s="144">
        <f>f_c_max</f>
        <v>2.5</v>
      </c>
      <c r="U67" s="143"/>
      <c r="V67" s="138">
        <f>( f_c_max - f_c_min ) * ( 0.5 * ( C_ + 1 ) ) + f_c_min</f>
        <v>2.5</v>
      </c>
      <c r="W67" s="67"/>
      <c r="X67" s="67"/>
      <c r="Y67" s="67"/>
    </row>
    <row r="68" spans="1:25" x14ac:dyDescent="0.45">
      <c r="A68" s="67"/>
      <c r="B68" s="67"/>
      <c r="C68" s="67"/>
      <c r="D68" s="102"/>
      <c r="E68" s="102" t="s">
        <v>109</v>
      </c>
      <c r="F68" s="67"/>
      <c r="G68" s="67"/>
      <c r="H68" s="67"/>
      <c r="I68" s="102" t="s">
        <v>114</v>
      </c>
      <c r="J68" s="67"/>
      <c r="K68" s="67"/>
      <c r="L68" s="67"/>
      <c r="M68" s="109"/>
      <c r="N68" s="38"/>
      <c r="O68" s="103"/>
      <c r="P68" s="67"/>
      <c r="Q68" s="67"/>
      <c r="R68" s="67"/>
      <c r="S68" s="67"/>
      <c r="T68" s="67"/>
      <c r="U68" s="67"/>
      <c r="V68" s="67"/>
      <c r="W68" s="67"/>
      <c r="X68" s="67"/>
      <c r="Y68" s="67"/>
    </row>
    <row r="69" spans="1:25" x14ac:dyDescent="0.4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109"/>
      <c r="N69" s="115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</row>
    <row r="70" spans="1:25" x14ac:dyDescent="0.45">
      <c r="A70" s="67"/>
      <c r="B70" s="67"/>
      <c r="C70" s="74"/>
      <c r="D70" s="67"/>
      <c r="E70" s="67"/>
      <c r="F70" s="67"/>
      <c r="G70" s="67"/>
      <c r="H70" s="67"/>
      <c r="I70" s="67"/>
      <c r="J70" s="67"/>
      <c r="K70" s="67"/>
      <c r="L70" s="67"/>
      <c r="M70" s="109"/>
      <c r="N70" s="115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</row>
    <row r="71" spans="1:25" x14ac:dyDescent="0.45">
      <c r="A71" s="67"/>
      <c r="B71" s="165">
        <f ca="1">_o-_a-_b+_c+_ab-_bc-_ca+_abc</f>
        <v>10.500015550000004</v>
      </c>
      <c r="C71" s="165"/>
      <c r="D71" s="165"/>
      <c r="E71" s="67"/>
      <c r="F71" s="67"/>
      <c r="G71" s="67"/>
      <c r="H71" s="67"/>
      <c r="I71" s="67"/>
      <c r="J71" s="67"/>
      <c r="K71" s="67"/>
      <c r="L71" s="67"/>
      <c r="M71" s="135"/>
      <c r="N71" s="136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x14ac:dyDescent="0.45">
      <c r="A72" s="67"/>
      <c r="B72" s="67"/>
      <c r="C72" s="102" t="s">
        <v>110</v>
      </c>
      <c r="D72" s="67"/>
      <c r="F72" s="137"/>
      <c r="G72" s="137"/>
      <c r="H72" s="132">
        <f ca="1">_o+_a-_b+_c-_ab-_bc+_ca-_abc</f>
        <v>11.500029999999999</v>
      </c>
      <c r="I72" s="66"/>
      <c r="J72" s="66"/>
      <c r="K72" s="67"/>
      <c r="L72" s="67"/>
      <c r="M72" s="109"/>
      <c r="N72" s="115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</row>
    <row r="73" spans="1:25" x14ac:dyDescent="0.45">
      <c r="A73" s="67"/>
      <c r="B73" s="67"/>
      <c r="C73" s="74"/>
      <c r="D73" s="67"/>
      <c r="E73" s="67"/>
      <c r="G73" s="67"/>
      <c r="H73" s="102" t="s">
        <v>111</v>
      </c>
      <c r="I73" s="67"/>
      <c r="J73" s="67"/>
      <c r="K73" s="67"/>
      <c r="L73" s="67"/>
      <c r="M73" s="109"/>
      <c r="N73" s="115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</row>
    <row r="74" spans="1:25" x14ac:dyDescent="0.45">
      <c r="A74" s="67"/>
      <c r="B74" s="66"/>
      <c r="C74" s="37"/>
      <c r="D74" s="67"/>
      <c r="E74" s="67"/>
      <c r="F74" s="67"/>
      <c r="G74" s="67"/>
      <c r="H74" s="67"/>
      <c r="I74" s="67"/>
      <c r="J74" s="67"/>
      <c r="K74" s="67"/>
      <c r="L74" s="67"/>
      <c r="M74" s="109"/>
      <c r="N74" s="115"/>
      <c r="O74" s="67"/>
      <c r="P74" s="38" t="str">
        <f>f_a</f>
        <v>Feed Rate</v>
      </c>
      <c r="Q74" s="66"/>
      <c r="R74" s="67"/>
      <c r="S74" s="131" t="s">
        <v>129</v>
      </c>
      <c r="T74" s="131" t="s">
        <v>130</v>
      </c>
      <c r="V74" s="142" t="s">
        <v>127</v>
      </c>
      <c r="W74" s="67"/>
      <c r="X74" s="159" t="s">
        <v>79</v>
      </c>
      <c r="Y74" s="159"/>
    </row>
    <row r="75" spans="1:25" x14ac:dyDescent="0.45">
      <c r="A75" s="67"/>
      <c r="B75" s="66"/>
      <c r="C75" s="37" t="str">
        <f>f_c</f>
        <v>Angle</v>
      </c>
      <c r="D75" s="67"/>
      <c r="E75" s="67"/>
      <c r="F75" s="67"/>
      <c r="G75" s="67"/>
      <c r="H75" s="67"/>
      <c r="I75" s="67"/>
      <c r="J75" s="67"/>
      <c r="K75" s="67"/>
      <c r="L75" s="67"/>
      <c r="M75" s="109"/>
      <c r="N75" s="115"/>
      <c r="O75" s="66" t="s">
        <v>70</v>
      </c>
      <c r="P75" s="35">
        <v>40</v>
      </c>
      <c r="Q75" s="67" t="str">
        <f>f_a_units</f>
        <v>mm/sec</v>
      </c>
      <c r="R75" s="67"/>
      <c r="S75" s="35">
        <f>f_a_min</f>
        <v>40</v>
      </c>
      <c r="T75" s="35">
        <f>f_a_max</f>
        <v>60</v>
      </c>
      <c r="U75" s="66"/>
      <c r="V75" s="138">
        <f>2 * ( P75 - f_a_min ) / ( f_a_max - f_a_min ) - 1</f>
        <v>-1</v>
      </c>
      <c r="W75" s="67"/>
      <c r="X75" s="67"/>
      <c r="Y75" s="67"/>
    </row>
    <row r="76" spans="1:25" x14ac:dyDescent="0.45">
      <c r="A76" s="67"/>
      <c r="B76" s="67"/>
      <c r="C76" s="37" t="s">
        <v>2</v>
      </c>
      <c r="D76" s="67"/>
      <c r="E76" s="165">
        <f ca="1">_o-_a+_b-_c-_ab-_bc+_ca+_abc</f>
        <v>10.000014999999998</v>
      </c>
      <c r="F76" s="165"/>
      <c r="G76" s="165"/>
      <c r="H76" s="159">
        <f ca="1">_o+_a+_b-_c+_ab-_bc-_ca-_abc</f>
        <v>13.500019999999999</v>
      </c>
      <c r="I76" s="159"/>
      <c r="J76" s="159"/>
      <c r="K76" s="67"/>
      <c r="L76" s="67"/>
      <c r="M76" s="131" t="s">
        <v>128</v>
      </c>
      <c r="N76" s="115"/>
      <c r="P76" s="38" t="str">
        <f>f_b</f>
        <v>Depth</v>
      </c>
      <c r="Q76" s="67"/>
      <c r="R76" s="67"/>
      <c r="S76" s="35"/>
      <c r="T76" s="35"/>
      <c r="U76" s="67"/>
      <c r="V76" s="143"/>
      <c r="W76" s="67"/>
      <c r="X76" s="159" t="str">
        <f>r_name</f>
        <v>Surface Finish</v>
      </c>
      <c r="Y76" s="159"/>
    </row>
    <row r="77" spans="1:25" x14ac:dyDescent="0.45">
      <c r="A77" s="67"/>
      <c r="B77" s="67"/>
      <c r="C77" s="74"/>
      <c r="D77" s="67"/>
      <c r="E77" s="67"/>
      <c r="F77" s="102" t="s">
        <v>112</v>
      </c>
      <c r="G77" s="67"/>
      <c r="H77" s="67"/>
      <c r="I77" s="102" t="s">
        <v>113</v>
      </c>
      <c r="J77" s="102"/>
      <c r="K77" s="67"/>
      <c r="L77" s="67"/>
      <c r="M77" s="131" t="s">
        <v>78</v>
      </c>
      <c r="N77" s="115"/>
      <c r="O77" s="66" t="s">
        <v>71</v>
      </c>
      <c r="P77" s="35">
        <v>3.5</v>
      </c>
      <c r="Q77" s="67" t="str">
        <f>f_b_units</f>
        <v>mm</v>
      </c>
      <c r="R77" s="67"/>
      <c r="S77" s="35">
        <f>f_b_min</f>
        <v>3.5</v>
      </c>
      <c r="T77" s="35">
        <f>f_b_max</f>
        <v>7</v>
      </c>
      <c r="U77" s="67"/>
      <c r="V77" s="138">
        <f>2 * ( P77 - f_b_min ) / ( f_b_max - f_b_min ) - 1</f>
        <v>-1</v>
      </c>
      <c r="W77" s="67"/>
      <c r="X77" s="160">
        <f ca="1">_o+_a*A__+_b*B__+_c*C__+_ab*A__*B__+_bc*B__*C__+_ca*C__*A__+_abc*A__*B__*C__</f>
        <v>8.0000450000000001</v>
      </c>
      <c r="Y77" s="160"/>
    </row>
    <row r="78" spans="1:25" x14ac:dyDescent="0.45">
      <c r="A78" s="67"/>
      <c r="B78" s="67"/>
      <c r="C78" s="74"/>
      <c r="D78" s="67"/>
      <c r="E78" s="67"/>
      <c r="F78" s="67"/>
      <c r="G78" s="67"/>
      <c r="H78" s="67"/>
      <c r="I78" s="67"/>
      <c r="J78" s="67"/>
      <c r="K78" s="67"/>
      <c r="L78" s="67"/>
      <c r="M78" s="109"/>
      <c r="N78" s="115"/>
      <c r="P78" s="38" t="str">
        <f>f_c</f>
        <v>Angle</v>
      </c>
      <c r="Q78" s="67"/>
      <c r="R78" s="67"/>
      <c r="S78" s="35"/>
      <c r="T78" s="35"/>
      <c r="U78" s="67"/>
      <c r="V78" s="143"/>
      <c r="W78" s="67"/>
      <c r="X78" s="161" t="str">
        <f>r_units</f>
        <v>um</v>
      </c>
      <c r="Y78" s="161"/>
    </row>
    <row r="79" spans="1:25" x14ac:dyDescent="0.45">
      <c r="A79" s="67"/>
      <c r="B79" s="67"/>
      <c r="C79" s="74"/>
      <c r="D79" s="67"/>
      <c r="E79" s="67"/>
      <c r="F79" s="67"/>
      <c r="G79" s="67"/>
      <c r="H79" s="67"/>
      <c r="I79" s="37" t="str">
        <f>f_b</f>
        <v>Depth</v>
      </c>
      <c r="J79" s="67"/>
      <c r="K79" s="67"/>
      <c r="L79" s="67"/>
      <c r="M79" s="109"/>
      <c r="N79" s="115"/>
      <c r="O79" s="66" t="s">
        <v>72</v>
      </c>
      <c r="P79" s="35">
        <v>1.5</v>
      </c>
      <c r="Q79" s="67" t="str">
        <f>f_c_units</f>
        <v>deg</v>
      </c>
      <c r="R79" s="67"/>
      <c r="S79" s="35">
        <f>f_c_min</f>
        <v>1.5</v>
      </c>
      <c r="T79" s="35">
        <f>f_c_max</f>
        <v>2.5</v>
      </c>
      <c r="U79" s="67"/>
      <c r="V79" s="138">
        <f>2 * ( P79 - f_c_min ) / ( f_c_max - f_c_min ) - 1</f>
        <v>-1</v>
      </c>
      <c r="W79" s="67"/>
      <c r="X79" s="67"/>
      <c r="Y79" s="67"/>
    </row>
    <row r="80" spans="1:25" x14ac:dyDescent="0.45">
      <c r="A80" s="67"/>
      <c r="B80" s="67"/>
      <c r="D80" s="67"/>
      <c r="E80" s="67"/>
      <c r="F80" s="67"/>
      <c r="G80" s="67"/>
      <c r="H80" s="67"/>
      <c r="I80" s="37" t="s">
        <v>4</v>
      </c>
      <c r="J80" s="67"/>
      <c r="K80" s="67"/>
      <c r="L80" s="67"/>
      <c r="M80" s="109"/>
      <c r="N80" s="115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</row>
    <row r="81" spans="1:33" ht="23.4" x14ac:dyDescent="0.45">
      <c r="A81" s="67"/>
      <c r="B81" s="165">
        <f ca="1">_o-_a-_b-_c+_ab+_bc+_ca-_abc</f>
        <v>8.0000450000000001</v>
      </c>
      <c r="C81" s="165"/>
      <c r="D81" s="165"/>
      <c r="E81" s="128" t="str">
        <f>f_a</f>
        <v>Feed Rate</v>
      </c>
      <c r="F81" s="165">
        <f ca="1">_o+_a-_b-_c-_ab+_bc-_ca+_abc</f>
        <v>11.000050000000002</v>
      </c>
      <c r="G81" s="165"/>
      <c r="H81" s="165"/>
      <c r="I81" s="67"/>
      <c r="J81" s="67"/>
      <c r="K81" s="67"/>
      <c r="L81" s="67"/>
      <c r="M81" s="109"/>
      <c r="N81" s="115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</row>
    <row r="82" spans="1:33" x14ac:dyDescent="0.45">
      <c r="A82" s="67"/>
      <c r="B82" s="67"/>
      <c r="C82" s="102" t="s">
        <v>107</v>
      </c>
      <c r="D82" s="67"/>
      <c r="E82" s="37" t="s">
        <v>1</v>
      </c>
      <c r="F82" s="67"/>
      <c r="G82" s="102" t="s">
        <v>108</v>
      </c>
      <c r="H82" s="67"/>
      <c r="I82" s="67"/>
      <c r="J82" s="67"/>
      <c r="K82" s="67"/>
      <c r="L82" s="67"/>
      <c r="M82" s="109"/>
      <c r="N82" s="115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</row>
    <row r="83" spans="1:33" x14ac:dyDescent="0.45">
      <c r="A83" s="67"/>
      <c r="B83" s="67"/>
      <c r="C83" s="102"/>
      <c r="D83" s="67"/>
      <c r="E83" s="131"/>
      <c r="F83" s="67"/>
      <c r="G83" s="102"/>
      <c r="H83" s="67"/>
      <c r="I83" s="67"/>
      <c r="J83" s="67"/>
      <c r="K83" s="67"/>
      <c r="L83" s="67"/>
      <c r="M83" s="109"/>
      <c r="N83" s="115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</row>
    <row r="84" spans="1:33" x14ac:dyDescent="0.45">
      <c r="A84" s="67"/>
      <c r="B84" s="67"/>
      <c r="C84" s="67"/>
      <c r="D84" s="67"/>
      <c r="E84" s="67"/>
      <c r="F84" s="67"/>
      <c r="G84" s="67"/>
      <c r="H84" s="74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</row>
    <row r="85" spans="1:33" x14ac:dyDescent="0.45">
      <c r="A85" s="45"/>
      <c r="B85" s="44" t="s">
        <v>82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97"/>
      <c r="AA85" s="97"/>
      <c r="AB85" s="97"/>
      <c r="AC85" s="97"/>
      <c r="AD85" s="97"/>
      <c r="AE85" s="97"/>
      <c r="AF85" s="97"/>
      <c r="AG85" s="97"/>
    </row>
    <row r="86" spans="1:33" x14ac:dyDescent="0.45">
      <c r="A86" s="89">
        <f>MAX(A87:A102)+1</f>
        <v>16</v>
      </c>
      <c r="B86" s="89" t="s">
        <v>30</v>
      </c>
      <c r="C86" s="89" t="s">
        <v>31</v>
      </c>
      <c r="D86" s="89" t="s">
        <v>34</v>
      </c>
      <c r="E86" s="89" t="s">
        <v>24</v>
      </c>
      <c r="F86" s="51" t="s">
        <v>1</v>
      </c>
      <c r="G86" s="90" t="s">
        <v>2</v>
      </c>
      <c r="H86" s="90" t="s">
        <v>4</v>
      </c>
      <c r="I86" s="53" t="str">
        <f>r_symbol</f>
        <v>SF</v>
      </c>
      <c r="J86" s="91" t="str">
        <f>_xlfn.CONCAT(I86,"*")</f>
        <v>SF*</v>
      </c>
      <c r="K86" s="92" t="s">
        <v>23</v>
      </c>
      <c r="L86" s="93" t="str">
        <f>_xlfn.CONCAT("R",I86)</f>
        <v>RSF</v>
      </c>
      <c r="M86" s="92" t="s">
        <v>32</v>
      </c>
      <c r="N86" s="108"/>
      <c r="O86" s="111"/>
      <c r="P86" s="112"/>
      <c r="Q86" s="112"/>
      <c r="R86" s="112"/>
      <c r="S86" s="108"/>
      <c r="T86" s="111"/>
      <c r="U86" s="113"/>
      <c r="V86" s="112"/>
      <c r="W86" s="112"/>
      <c r="X86" s="108"/>
      <c r="Y86" s="111"/>
      <c r="Z86" s="100"/>
      <c r="AA86" s="99"/>
      <c r="AB86" s="99"/>
      <c r="AC86" s="65"/>
      <c r="AD86" s="98"/>
      <c r="AE86" s="100"/>
      <c r="AF86" s="99"/>
      <c r="AG86" s="99"/>
    </row>
    <row r="87" spans="1:33" x14ac:dyDescent="0.45">
      <c r="A87" s="89">
        <v>0</v>
      </c>
      <c r="B87" s="89">
        <f t="shared" ref="B87:B102" si="29">INT(A87/POWER(2,__k))</f>
        <v>0</v>
      </c>
      <c r="C87" s="89">
        <f t="shared" ref="C87:C102" si="30">MOD(A87,POWER(2,__k))</f>
        <v>0</v>
      </c>
      <c r="D87" s="105">
        <f>(A87+0.5)/$A$86</f>
        <v>3.125E-2</v>
      </c>
      <c r="E87" s="105">
        <f>_xlfn.NORM.INV(D87,0,1)</f>
        <v>-1.8627318674216511</v>
      </c>
      <c r="F87" s="16">
        <f t="shared" ref="F87:F102" ca="1" si="31">OFFSET($G$10,C87,-3)</f>
        <v>-1</v>
      </c>
      <c r="G87" s="16">
        <f t="shared" ref="G87:G102" ca="1" si="32">OFFSET($G$10,C87,-2)</f>
        <v>-1</v>
      </c>
      <c r="H87" s="16">
        <f t="shared" ref="H87:H102" ca="1" si="33">OFFSET($G$10,C87,-1)</f>
        <v>-1</v>
      </c>
      <c r="I87" s="1">
        <f t="shared" ref="I87:I102" ca="1" si="34">OFFSET($G$10,C87,B87)</f>
        <v>9.0000099999999996</v>
      </c>
      <c r="J87" s="23">
        <f t="shared" ref="J87:J102" ca="1" si="35">_o+_a*F87+_b*G87+_c*H87+_ab*F87*G87+_bc*G87*H87+_ca*H87*F87+_abc*F87*G87*H87</f>
        <v>8.0000450000000001</v>
      </c>
      <c r="K87" s="94">
        <f t="shared" ref="K87:K102" ca="1" si="36">_xlfn.RANK.EQ(L87,L$87:L$102,1)-1</f>
        <v>10</v>
      </c>
      <c r="L87" s="95">
        <f t="shared" ref="L87:L102" ca="1" si="37">I87-J87</f>
        <v>0.99996499999999955</v>
      </c>
      <c r="M87" s="95">
        <f ca="1">VLOOKUP(A87,K$87:L$102,2,FALSE)</f>
        <v>-1.499979999999999</v>
      </c>
      <c r="N87" s="35"/>
      <c r="O87" s="96"/>
      <c r="P87" s="114"/>
      <c r="Q87" s="96"/>
      <c r="R87" s="96"/>
      <c r="S87" s="35"/>
      <c r="T87" s="96"/>
      <c r="U87" s="114"/>
      <c r="V87" s="96"/>
      <c r="W87" s="96"/>
      <c r="X87" s="96"/>
      <c r="Y87" s="96"/>
      <c r="Z87" s="78"/>
      <c r="AA87" s="30"/>
      <c r="AB87" s="30"/>
      <c r="AC87" s="30"/>
      <c r="AD87" s="30"/>
      <c r="AE87" s="78"/>
      <c r="AF87" s="30"/>
      <c r="AG87" s="30"/>
    </row>
    <row r="88" spans="1:33" x14ac:dyDescent="0.45">
      <c r="A88" s="89">
        <f>A87+1</f>
        <v>1</v>
      </c>
      <c r="B88" s="89">
        <f t="shared" si="29"/>
        <v>0</v>
      </c>
      <c r="C88" s="89">
        <f t="shared" si="30"/>
        <v>1</v>
      </c>
      <c r="D88" s="105">
        <f t="shared" ref="D88:D102" si="38">(A88+0.5)/$A$86</f>
        <v>9.375E-2</v>
      </c>
      <c r="E88" s="105">
        <f t="shared" ref="E88:E102" si="39">_xlfn.NORM.INV(D88,0,1)</f>
        <v>-1.3180108973035372</v>
      </c>
      <c r="F88" s="16">
        <f t="shared" ca="1" si="31"/>
        <v>1</v>
      </c>
      <c r="G88" s="16">
        <f t="shared" ca="1" si="32"/>
        <v>-1</v>
      </c>
      <c r="H88" s="16">
        <f t="shared" ca="1" si="33"/>
        <v>-1</v>
      </c>
      <c r="I88" s="1">
        <f t="shared" ca="1" si="34"/>
        <v>10.00001</v>
      </c>
      <c r="J88" s="23">
        <f t="shared" ca="1" si="35"/>
        <v>11.000050000000002</v>
      </c>
      <c r="K88" s="94">
        <f t="shared" ca="1" si="36"/>
        <v>2</v>
      </c>
      <c r="L88" s="95">
        <f t="shared" ca="1" si="37"/>
        <v>-1.000040000000002</v>
      </c>
      <c r="M88" s="95">
        <f t="shared" ref="M88:M102" ca="1" si="40">VLOOKUP(A88,K$87:L$102,2,FALSE)</f>
        <v>-1.4999699999999994</v>
      </c>
      <c r="N88" s="35"/>
      <c r="O88" s="96"/>
      <c r="P88" s="114"/>
      <c r="Q88" s="96"/>
      <c r="R88" s="96"/>
      <c r="S88" s="35"/>
      <c r="T88" s="96"/>
      <c r="U88" s="114"/>
      <c r="V88" s="96"/>
      <c r="W88" s="96"/>
      <c r="X88" s="96"/>
      <c r="Y88" s="96"/>
      <c r="Z88" s="78"/>
      <c r="AA88" s="30"/>
      <c r="AB88" s="30"/>
      <c r="AC88" s="30"/>
      <c r="AD88" s="30"/>
      <c r="AE88" s="78"/>
      <c r="AF88" s="30"/>
      <c r="AG88" s="30"/>
    </row>
    <row r="89" spans="1:33" x14ac:dyDescent="0.45">
      <c r="A89" s="89">
        <f t="shared" ref="A89:A102" si="41">A88+1</f>
        <v>2</v>
      </c>
      <c r="B89" s="89">
        <f t="shared" si="29"/>
        <v>0</v>
      </c>
      <c r="C89" s="89">
        <f t="shared" si="30"/>
        <v>2</v>
      </c>
      <c r="D89" s="105">
        <f t="shared" si="38"/>
        <v>0.15625</v>
      </c>
      <c r="E89" s="105">
        <f t="shared" si="39"/>
        <v>-1.0099901692495805</v>
      </c>
      <c r="F89" s="16">
        <f t="shared" ca="1" si="31"/>
        <v>-1</v>
      </c>
      <c r="G89" s="16">
        <f t="shared" ca="1" si="32"/>
        <v>1</v>
      </c>
      <c r="H89" s="16">
        <f t="shared" ca="1" si="33"/>
        <v>-1</v>
      </c>
      <c r="I89" s="1">
        <f t="shared" ca="1" si="34"/>
        <v>9.0000199999999992</v>
      </c>
      <c r="J89" s="23">
        <f t="shared" ca="1" si="35"/>
        <v>10.000014999999998</v>
      </c>
      <c r="K89" s="94">
        <f t="shared" ca="1" si="36"/>
        <v>4</v>
      </c>
      <c r="L89" s="95">
        <f t="shared" ca="1" si="37"/>
        <v>-0.99999499999999841</v>
      </c>
      <c r="M89" s="95">
        <f t="shared" ca="1" si="40"/>
        <v>-1.000040000000002</v>
      </c>
      <c r="N89" s="35"/>
      <c r="O89" s="96"/>
      <c r="P89" s="114"/>
      <c r="Q89" s="96"/>
      <c r="R89" s="96"/>
      <c r="S89" s="35"/>
      <c r="T89" s="96"/>
      <c r="U89" s="114"/>
      <c r="V89" s="96"/>
      <c r="W89" s="96"/>
      <c r="X89" s="96"/>
      <c r="Y89" s="96"/>
      <c r="Z89" s="78"/>
      <c r="AA89" s="30"/>
      <c r="AB89" s="30"/>
      <c r="AC89" s="30"/>
      <c r="AD89" s="30"/>
      <c r="AE89" s="78"/>
      <c r="AF89" s="30"/>
      <c r="AG89" s="30"/>
    </row>
    <row r="90" spans="1:33" x14ac:dyDescent="0.45">
      <c r="A90" s="89">
        <f t="shared" si="41"/>
        <v>3</v>
      </c>
      <c r="B90" s="89">
        <f t="shared" si="29"/>
        <v>0</v>
      </c>
      <c r="C90" s="89">
        <f t="shared" si="30"/>
        <v>3</v>
      </c>
      <c r="D90" s="105">
        <f t="shared" si="38"/>
        <v>0.21875</v>
      </c>
      <c r="E90" s="105">
        <f t="shared" si="39"/>
        <v>-0.77642176114792794</v>
      </c>
      <c r="F90" s="16">
        <f t="shared" ca="1" si="31"/>
        <v>-1</v>
      </c>
      <c r="G90" s="16">
        <f t="shared" ca="1" si="32"/>
        <v>-1</v>
      </c>
      <c r="H90" s="16">
        <f t="shared" ca="1" si="33"/>
        <v>1</v>
      </c>
      <c r="I90" s="1">
        <f t="shared" ca="1" si="34"/>
        <v>11.000030000000001</v>
      </c>
      <c r="J90" s="23">
        <f t="shared" ca="1" si="35"/>
        <v>10.500015550000004</v>
      </c>
      <c r="K90" s="94">
        <f t="shared" ca="1" si="36"/>
        <v>8</v>
      </c>
      <c r="L90" s="95">
        <f t="shared" ca="1" si="37"/>
        <v>0.50001444999999656</v>
      </c>
      <c r="M90" s="95">
        <f t="shared" ca="1" si="40"/>
        <v>-1.0000350000000005</v>
      </c>
      <c r="N90" s="35"/>
      <c r="O90" s="96"/>
      <c r="P90" s="114"/>
      <c r="Q90" s="96"/>
      <c r="R90" s="96"/>
      <c r="S90" s="35"/>
      <c r="T90" s="96"/>
      <c r="U90" s="114"/>
      <c r="V90" s="96"/>
      <c r="W90" s="96"/>
      <c r="X90" s="96"/>
      <c r="Y90" s="96"/>
      <c r="Z90" s="78"/>
      <c r="AA90" s="30"/>
      <c r="AB90" s="30"/>
      <c r="AC90" s="30"/>
      <c r="AD90" s="30"/>
      <c r="AE90" s="78"/>
      <c r="AF90" s="30"/>
      <c r="AG90" s="30"/>
    </row>
    <row r="91" spans="1:33" x14ac:dyDescent="0.45">
      <c r="A91" s="89">
        <f t="shared" si="41"/>
        <v>4</v>
      </c>
      <c r="B91" s="89">
        <f t="shared" si="29"/>
        <v>0</v>
      </c>
      <c r="C91" s="89">
        <f t="shared" si="30"/>
        <v>4</v>
      </c>
      <c r="D91" s="105">
        <f t="shared" si="38"/>
        <v>0.28125</v>
      </c>
      <c r="E91" s="105">
        <f t="shared" si="39"/>
        <v>-0.57913216225555586</v>
      </c>
      <c r="F91" s="16">
        <f t="shared" ca="1" si="31"/>
        <v>1</v>
      </c>
      <c r="G91" s="16">
        <f t="shared" ca="1" si="32"/>
        <v>1</v>
      </c>
      <c r="H91" s="16">
        <f t="shared" ca="1" si="33"/>
        <v>-1</v>
      </c>
      <c r="I91" s="1">
        <f t="shared" ca="1" si="34"/>
        <v>12.00004</v>
      </c>
      <c r="J91" s="23">
        <f t="shared" ca="1" si="35"/>
        <v>13.500019999999999</v>
      </c>
      <c r="K91" s="94">
        <f t="shared" ca="1" si="36"/>
        <v>0</v>
      </c>
      <c r="L91" s="95">
        <f t="shared" ca="1" si="37"/>
        <v>-1.499979999999999</v>
      </c>
      <c r="M91" s="95">
        <f t="shared" ca="1" si="40"/>
        <v>-0.99999499999999841</v>
      </c>
      <c r="N91" s="35"/>
      <c r="O91" s="96"/>
      <c r="P91" s="114"/>
      <c r="Q91" s="96"/>
      <c r="R91" s="96"/>
      <c r="S91" s="35"/>
      <c r="T91" s="96"/>
      <c r="U91" s="114"/>
      <c r="V91" s="96"/>
      <c r="W91" s="96"/>
      <c r="X91" s="96"/>
      <c r="Y91" s="96"/>
      <c r="Z91" s="78"/>
      <c r="AA91" s="30"/>
      <c r="AB91" s="30"/>
      <c r="AC91" s="30"/>
      <c r="AD91" s="30"/>
      <c r="AE91" s="78"/>
      <c r="AF91" s="30"/>
      <c r="AG91" s="30"/>
    </row>
    <row r="92" spans="1:33" x14ac:dyDescent="0.45">
      <c r="A92" s="89">
        <f t="shared" si="41"/>
        <v>5</v>
      </c>
      <c r="B92" s="89">
        <f t="shared" si="29"/>
        <v>0</v>
      </c>
      <c r="C92" s="89">
        <f t="shared" si="30"/>
        <v>5</v>
      </c>
      <c r="D92" s="105">
        <f t="shared" si="38"/>
        <v>0.34375</v>
      </c>
      <c r="E92" s="105">
        <f t="shared" si="39"/>
        <v>-0.40225006532172536</v>
      </c>
      <c r="F92" s="16">
        <f t="shared" ca="1" si="31"/>
        <v>-1</v>
      </c>
      <c r="G92" s="16">
        <f t="shared" ca="1" si="32"/>
        <v>1</v>
      </c>
      <c r="H92" s="16">
        <f t="shared" ca="1" si="33"/>
        <v>1</v>
      </c>
      <c r="I92" s="1">
        <f t="shared" ca="1" si="34"/>
        <v>8.0005000000000006</v>
      </c>
      <c r="J92" s="23">
        <f t="shared" ca="1" si="35"/>
        <v>9.0002499999999976</v>
      </c>
      <c r="K92" s="94">
        <f t="shared" ca="1" si="36"/>
        <v>6</v>
      </c>
      <c r="L92" s="95">
        <f t="shared" ca="1" si="37"/>
        <v>-0.99974999999999703</v>
      </c>
      <c r="M92" s="95">
        <f t="shared" ca="1" si="40"/>
        <v>-0.99996500000000044</v>
      </c>
      <c r="N92" s="35"/>
      <c r="O92" s="96"/>
      <c r="P92" s="114"/>
      <c r="Q92" s="96"/>
      <c r="R92" s="96"/>
      <c r="S92" s="35"/>
      <c r="T92" s="96"/>
      <c r="U92" s="114"/>
      <c r="V92" s="96"/>
      <c r="W92" s="96"/>
      <c r="X92" s="96"/>
      <c r="Y92" s="96"/>
      <c r="Z92" s="78"/>
      <c r="AA92" s="30"/>
      <c r="AB92" s="30"/>
      <c r="AC92" s="30"/>
      <c r="AD92" s="30"/>
      <c r="AE92" s="78"/>
      <c r="AF92" s="30"/>
      <c r="AG92" s="30"/>
    </row>
    <row r="93" spans="1:33" x14ac:dyDescent="0.45">
      <c r="A93" s="89">
        <f t="shared" si="41"/>
        <v>6</v>
      </c>
      <c r="B93" s="89">
        <f t="shared" si="29"/>
        <v>0</v>
      </c>
      <c r="C93" s="89">
        <f t="shared" si="30"/>
        <v>6</v>
      </c>
      <c r="D93" s="105">
        <f t="shared" si="38"/>
        <v>0.40625</v>
      </c>
      <c r="E93" s="105">
        <f t="shared" si="39"/>
        <v>-0.23720210932878771</v>
      </c>
      <c r="F93" s="16">
        <f t="shared" ca="1" si="31"/>
        <v>1</v>
      </c>
      <c r="G93" s="16">
        <f t="shared" ca="1" si="32"/>
        <v>-1</v>
      </c>
      <c r="H93" s="16">
        <f t="shared" ca="1" si="33"/>
        <v>1</v>
      </c>
      <c r="I93" s="1">
        <f t="shared" ca="1" si="34"/>
        <v>10.00006</v>
      </c>
      <c r="J93" s="23">
        <f t="shared" ca="1" si="35"/>
        <v>11.500029999999999</v>
      </c>
      <c r="K93" s="94">
        <f t="shared" ca="1" si="36"/>
        <v>1</v>
      </c>
      <c r="L93" s="95">
        <f t="shared" ca="1" si="37"/>
        <v>-1.4999699999999994</v>
      </c>
      <c r="M93" s="95">
        <f t="shared" ca="1" si="40"/>
        <v>-0.99974999999999703</v>
      </c>
      <c r="N93" s="35"/>
      <c r="O93" s="96"/>
      <c r="P93" s="114"/>
      <c r="Q93" s="96"/>
      <c r="R93" s="96"/>
      <c r="S93" s="35"/>
      <c r="T93" s="96"/>
      <c r="U93" s="114"/>
      <c r="V93" s="96"/>
      <c r="W93" s="96"/>
      <c r="X93" s="96"/>
      <c r="Y93" s="96"/>
      <c r="Z93" s="78"/>
      <c r="AA93" s="30"/>
      <c r="AB93" s="30"/>
      <c r="AC93" s="30"/>
      <c r="AD93" s="30"/>
      <c r="AE93" s="78"/>
      <c r="AF93" s="30"/>
      <c r="AG93" s="30"/>
    </row>
    <row r="94" spans="1:33" x14ac:dyDescent="0.45">
      <c r="A94" s="89">
        <f t="shared" si="41"/>
        <v>7</v>
      </c>
      <c r="B94" s="89">
        <f t="shared" si="29"/>
        <v>0</v>
      </c>
      <c r="C94" s="89">
        <f t="shared" si="30"/>
        <v>7</v>
      </c>
      <c r="D94" s="105">
        <f t="shared" si="38"/>
        <v>0.46875</v>
      </c>
      <c r="E94" s="105">
        <f t="shared" si="39"/>
        <v>-7.8412412733112211E-2</v>
      </c>
      <c r="F94" s="16">
        <f t="shared" ca="1" si="31"/>
        <v>1</v>
      </c>
      <c r="G94" s="16">
        <f t="shared" ca="1" si="32"/>
        <v>1</v>
      </c>
      <c r="H94" s="16">
        <f t="shared" ca="1" si="33"/>
        <v>1</v>
      </c>
      <c r="I94" s="1">
        <f t="shared" ca="1" si="34"/>
        <v>16.000070000000001</v>
      </c>
      <c r="J94" s="23">
        <f t="shared" ca="1" si="35"/>
        <v>15.000035</v>
      </c>
      <c r="K94" s="94">
        <f t="shared" ca="1" si="36"/>
        <v>12</v>
      </c>
      <c r="L94" s="95">
        <f t="shared" ca="1" si="37"/>
        <v>1.0000350000000005</v>
      </c>
      <c r="M94" s="95">
        <f t="shared" ca="1" si="40"/>
        <v>-0.50001445000000366</v>
      </c>
      <c r="N94" s="35"/>
      <c r="O94" s="96"/>
      <c r="P94" s="114"/>
      <c r="Q94" s="96"/>
      <c r="R94" s="96"/>
      <c r="S94" s="35"/>
      <c r="T94" s="96"/>
      <c r="U94" s="114"/>
      <c r="V94" s="96"/>
      <c r="W94" s="96"/>
      <c r="X94" s="96"/>
      <c r="Y94" s="96"/>
      <c r="Z94" s="78"/>
      <c r="AA94" s="30"/>
      <c r="AB94" s="30"/>
      <c r="AC94" s="30"/>
      <c r="AD94" s="30"/>
      <c r="AE94" s="78"/>
      <c r="AF94" s="30"/>
      <c r="AG94" s="30"/>
    </row>
    <row r="95" spans="1:33" x14ac:dyDescent="0.45">
      <c r="A95" s="89">
        <f t="shared" si="41"/>
        <v>8</v>
      </c>
      <c r="B95" s="89">
        <f t="shared" si="29"/>
        <v>1</v>
      </c>
      <c r="C95" s="89">
        <f t="shared" si="30"/>
        <v>0</v>
      </c>
      <c r="D95" s="105">
        <f t="shared" si="38"/>
        <v>0.53125</v>
      </c>
      <c r="E95" s="105">
        <f t="shared" si="39"/>
        <v>7.8412412733112211E-2</v>
      </c>
      <c r="F95" s="16">
        <f t="shared" ca="1" si="31"/>
        <v>-1</v>
      </c>
      <c r="G95" s="16">
        <f t="shared" ca="1" si="32"/>
        <v>-1</v>
      </c>
      <c r="H95" s="16">
        <f t="shared" ca="1" si="33"/>
        <v>-1</v>
      </c>
      <c r="I95" s="1">
        <f t="shared" ca="1" si="34"/>
        <v>7.0000799999999996</v>
      </c>
      <c r="J95" s="23">
        <f t="shared" ca="1" si="35"/>
        <v>8.0000450000000001</v>
      </c>
      <c r="K95" s="94">
        <f t="shared" ca="1" si="36"/>
        <v>5</v>
      </c>
      <c r="L95" s="95">
        <f t="shared" ca="1" si="37"/>
        <v>-0.99996500000000044</v>
      </c>
      <c r="M95" s="95">
        <f t="shared" ca="1" si="40"/>
        <v>0.50001444999999656</v>
      </c>
      <c r="N95" s="35"/>
      <c r="O95" s="96"/>
      <c r="P95" s="114"/>
      <c r="Q95" s="96"/>
      <c r="R95" s="96"/>
      <c r="S95" s="35"/>
      <c r="T95" s="96"/>
      <c r="U95" s="114"/>
      <c r="V95" s="96"/>
      <c r="W95" s="96"/>
      <c r="X95" s="96"/>
      <c r="Y95" s="96"/>
      <c r="Z95" s="78"/>
      <c r="AA95" s="30"/>
      <c r="AB95" s="30"/>
      <c r="AC95" s="30"/>
      <c r="AD95" s="30"/>
      <c r="AE95" s="78"/>
      <c r="AF95" s="30"/>
      <c r="AG95" s="30"/>
    </row>
    <row r="96" spans="1:33" x14ac:dyDescent="0.45">
      <c r="A96" s="89">
        <f t="shared" si="41"/>
        <v>9</v>
      </c>
      <c r="B96" s="89">
        <f t="shared" si="29"/>
        <v>1</v>
      </c>
      <c r="C96" s="89">
        <f t="shared" si="30"/>
        <v>1</v>
      </c>
      <c r="D96" s="105">
        <f t="shared" si="38"/>
        <v>0.59375</v>
      </c>
      <c r="E96" s="105">
        <f t="shared" si="39"/>
        <v>0.23720210932878771</v>
      </c>
      <c r="F96" s="16">
        <f t="shared" ca="1" si="31"/>
        <v>1</v>
      </c>
      <c r="G96" s="16">
        <f t="shared" ca="1" si="32"/>
        <v>-1</v>
      </c>
      <c r="H96" s="16">
        <f t="shared" ca="1" si="33"/>
        <v>-1</v>
      </c>
      <c r="I96" s="1">
        <f t="shared" ca="1" si="34"/>
        <v>12.00009</v>
      </c>
      <c r="J96" s="23">
        <f t="shared" ca="1" si="35"/>
        <v>11.000050000000002</v>
      </c>
      <c r="K96" s="94">
        <f t="shared" ca="1" si="36"/>
        <v>13</v>
      </c>
      <c r="L96" s="95">
        <f t="shared" ca="1" si="37"/>
        <v>1.0000399999999985</v>
      </c>
      <c r="M96" s="95">
        <f t="shared" ca="1" si="40"/>
        <v>0.99975000000000236</v>
      </c>
      <c r="N96" s="35"/>
      <c r="O96" s="96"/>
      <c r="P96" s="114"/>
      <c r="Q96" s="96"/>
      <c r="R96" s="96"/>
      <c r="S96" s="35"/>
      <c r="T96" s="96"/>
      <c r="U96" s="114"/>
      <c r="V96" s="96"/>
      <c r="W96" s="96"/>
      <c r="X96" s="96"/>
      <c r="Y96" s="96"/>
      <c r="Z96" s="78"/>
      <c r="AA96" s="30"/>
      <c r="AB96" s="30"/>
      <c r="AC96" s="30"/>
      <c r="AD96" s="30"/>
      <c r="AE96" s="78"/>
      <c r="AF96" s="30"/>
      <c r="AG96" s="30"/>
    </row>
    <row r="97" spans="1:33" x14ac:dyDescent="0.45">
      <c r="A97" s="89">
        <f t="shared" si="41"/>
        <v>10</v>
      </c>
      <c r="B97" s="89">
        <f t="shared" si="29"/>
        <v>1</v>
      </c>
      <c r="C97" s="89">
        <f t="shared" si="30"/>
        <v>2</v>
      </c>
      <c r="D97" s="105">
        <f t="shared" si="38"/>
        <v>0.65625</v>
      </c>
      <c r="E97" s="105">
        <f t="shared" si="39"/>
        <v>0.40225006532172536</v>
      </c>
      <c r="F97" s="16">
        <f t="shared" ca="1" si="31"/>
        <v>-1</v>
      </c>
      <c r="G97" s="16">
        <f t="shared" ca="1" si="32"/>
        <v>1</v>
      </c>
      <c r="H97" s="16">
        <f t="shared" ca="1" si="33"/>
        <v>-1</v>
      </c>
      <c r="I97" s="1">
        <f t="shared" ca="1" si="34"/>
        <v>11.00001</v>
      </c>
      <c r="J97" s="23">
        <f t="shared" ca="1" si="35"/>
        <v>10.000014999999998</v>
      </c>
      <c r="K97" s="94">
        <f t="shared" ca="1" si="36"/>
        <v>11</v>
      </c>
      <c r="L97" s="95">
        <f t="shared" ca="1" si="37"/>
        <v>0.99999500000000197</v>
      </c>
      <c r="M97" s="95">
        <f t="shared" ca="1" si="40"/>
        <v>0.99996499999999955</v>
      </c>
      <c r="N97" s="35"/>
      <c r="O97" s="96"/>
      <c r="P97" s="114"/>
      <c r="Q97" s="96"/>
      <c r="R97" s="96"/>
      <c r="S97" s="35"/>
      <c r="T97" s="96"/>
      <c r="U97" s="114"/>
      <c r="V97" s="96"/>
      <c r="W97" s="96"/>
      <c r="X97" s="96"/>
      <c r="Y97" s="96"/>
      <c r="Z97" s="78"/>
      <c r="AA97" s="30"/>
      <c r="AB97" s="30"/>
      <c r="AC97" s="30"/>
      <c r="AD97" s="30"/>
      <c r="AE97" s="78"/>
      <c r="AF97" s="30"/>
      <c r="AG97" s="30"/>
    </row>
    <row r="98" spans="1:33" x14ac:dyDescent="0.45">
      <c r="A98" s="89">
        <f t="shared" si="41"/>
        <v>11</v>
      </c>
      <c r="B98" s="89">
        <f t="shared" si="29"/>
        <v>1</v>
      </c>
      <c r="C98" s="89">
        <f t="shared" si="30"/>
        <v>3</v>
      </c>
      <c r="D98" s="105">
        <f t="shared" si="38"/>
        <v>0.71875</v>
      </c>
      <c r="E98" s="105">
        <f t="shared" si="39"/>
        <v>0.57913216225555586</v>
      </c>
      <c r="F98" s="16">
        <f t="shared" ca="1" si="31"/>
        <v>-1</v>
      </c>
      <c r="G98" s="16">
        <f t="shared" ca="1" si="32"/>
        <v>-1</v>
      </c>
      <c r="H98" s="16">
        <f t="shared" ca="1" si="33"/>
        <v>1</v>
      </c>
      <c r="I98" s="1">
        <f t="shared" ca="1" si="34"/>
        <v>10.0000011</v>
      </c>
      <c r="J98" s="23">
        <f t="shared" ca="1" si="35"/>
        <v>10.500015550000004</v>
      </c>
      <c r="K98" s="94">
        <f t="shared" ca="1" si="36"/>
        <v>7</v>
      </c>
      <c r="L98" s="95">
        <f t="shared" ca="1" si="37"/>
        <v>-0.50001445000000366</v>
      </c>
      <c r="M98" s="95">
        <f t="shared" ca="1" si="40"/>
        <v>0.99999500000000197</v>
      </c>
      <c r="N98" s="35"/>
      <c r="O98" s="96"/>
      <c r="P98" s="114"/>
      <c r="Q98" s="96"/>
      <c r="R98" s="96"/>
      <c r="S98" s="35"/>
      <c r="T98" s="96"/>
      <c r="U98" s="114"/>
      <c r="V98" s="96"/>
      <c r="W98" s="96"/>
      <c r="X98" s="96"/>
      <c r="Y98" s="96"/>
      <c r="Z98" s="78"/>
      <c r="AA98" s="30"/>
      <c r="AB98" s="30"/>
      <c r="AC98" s="30"/>
      <c r="AD98" s="30"/>
      <c r="AE98" s="78"/>
      <c r="AF98" s="30"/>
      <c r="AG98" s="30"/>
    </row>
    <row r="99" spans="1:33" x14ac:dyDescent="0.45">
      <c r="A99" s="89">
        <f t="shared" si="41"/>
        <v>12</v>
      </c>
      <c r="B99" s="89">
        <f t="shared" si="29"/>
        <v>1</v>
      </c>
      <c r="C99" s="89">
        <f t="shared" si="30"/>
        <v>4</v>
      </c>
      <c r="D99" s="105">
        <f t="shared" si="38"/>
        <v>0.78125</v>
      </c>
      <c r="E99" s="105">
        <f t="shared" si="39"/>
        <v>0.77642176114792794</v>
      </c>
      <c r="F99" s="16">
        <f t="shared" ca="1" si="31"/>
        <v>1</v>
      </c>
      <c r="G99" s="16">
        <f t="shared" ca="1" si="32"/>
        <v>1</v>
      </c>
      <c r="H99" s="16">
        <f t="shared" ca="1" si="33"/>
        <v>-1</v>
      </c>
      <c r="I99" s="1">
        <f t="shared" ca="1" si="34"/>
        <v>15</v>
      </c>
      <c r="J99" s="23">
        <f t="shared" ca="1" si="35"/>
        <v>13.500019999999999</v>
      </c>
      <c r="K99" s="94">
        <f t="shared" ca="1" si="36"/>
        <v>15</v>
      </c>
      <c r="L99" s="95">
        <f t="shared" ca="1" si="37"/>
        <v>1.4999800000000008</v>
      </c>
      <c r="M99" s="95">
        <f t="shared" ca="1" si="40"/>
        <v>1.0000350000000005</v>
      </c>
      <c r="N99" s="35"/>
      <c r="O99" s="96"/>
      <c r="P99" s="114"/>
      <c r="Q99" s="96"/>
      <c r="R99" s="96"/>
      <c r="S99" s="35"/>
      <c r="T99" s="96"/>
      <c r="U99" s="114"/>
      <c r="V99" s="96"/>
      <c r="W99" s="96"/>
      <c r="X99" s="96"/>
      <c r="Y99" s="96"/>
      <c r="Z99" s="78"/>
      <c r="AA99" s="30"/>
      <c r="AB99" s="30"/>
      <c r="AC99" s="30"/>
      <c r="AD99" s="30"/>
      <c r="AE99" s="78"/>
      <c r="AF99" s="30"/>
      <c r="AG99" s="30"/>
    </row>
    <row r="100" spans="1:33" x14ac:dyDescent="0.45">
      <c r="A100" s="89">
        <f t="shared" si="41"/>
        <v>13</v>
      </c>
      <c r="B100" s="89">
        <f t="shared" si="29"/>
        <v>1</v>
      </c>
      <c r="C100" s="89">
        <f t="shared" si="30"/>
        <v>5</v>
      </c>
      <c r="D100" s="105">
        <f t="shared" si="38"/>
        <v>0.84375</v>
      </c>
      <c r="E100" s="105">
        <f t="shared" si="39"/>
        <v>1.0099901692495805</v>
      </c>
      <c r="F100" s="16">
        <f t="shared" ca="1" si="31"/>
        <v>-1</v>
      </c>
      <c r="G100" s="16">
        <f t="shared" ca="1" si="32"/>
        <v>1</v>
      </c>
      <c r="H100" s="16">
        <f t="shared" ca="1" si="33"/>
        <v>1</v>
      </c>
      <c r="I100" s="1">
        <f t="shared" ca="1" si="34"/>
        <v>10</v>
      </c>
      <c r="J100" s="23">
        <f t="shared" ca="1" si="35"/>
        <v>9.0002499999999976</v>
      </c>
      <c r="K100" s="94">
        <f t="shared" ca="1" si="36"/>
        <v>9</v>
      </c>
      <c r="L100" s="95">
        <f t="shared" ca="1" si="37"/>
        <v>0.99975000000000236</v>
      </c>
      <c r="M100" s="95">
        <f t="shared" ca="1" si="40"/>
        <v>1.0000399999999985</v>
      </c>
      <c r="N100" s="35"/>
      <c r="O100" s="96"/>
      <c r="P100" s="114"/>
      <c r="Q100" s="96"/>
      <c r="R100" s="96"/>
      <c r="S100" s="35"/>
      <c r="T100" s="96"/>
      <c r="U100" s="114"/>
      <c r="V100" s="96"/>
      <c r="W100" s="96"/>
      <c r="X100" s="96"/>
      <c r="Y100" s="96"/>
      <c r="Z100" s="78"/>
      <c r="AA100" s="30"/>
      <c r="AB100" s="30"/>
      <c r="AC100" s="30"/>
      <c r="AD100" s="30"/>
      <c r="AE100" s="78"/>
      <c r="AF100" s="30"/>
      <c r="AG100" s="30"/>
    </row>
    <row r="101" spans="1:33" x14ac:dyDescent="0.45">
      <c r="A101" s="89">
        <f t="shared" si="41"/>
        <v>14</v>
      </c>
      <c r="B101" s="89">
        <f t="shared" si="29"/>
        <v>1</v>
      </c>
      <c r="C101" s="89">
        <f t="shared" si="30"/>
        <v>6</v>
      </c>
      <c r="D101" s="105">
        <f t="shared" si="38"/>
        <v>0.90625</v>
      </c>
      <c r="E101" s="105">
        <f t="shared" si="39"/>
        <v>1.3180108973035372</v>
      </c>
      <c r="F101" s="16">
        <f t="shared" ca="1" si="31"/>
        <v>1</v>
      </c>
      <c r="G101" s="16">
        <f t="shared" ca="1" si="32"/>
        <v>-1</v>
      </c>
      <c r="H101" s="16">
        <f t="shared" ca="1" si="33"/>
        <v>1</v>
      </c>
      <c r="I101" s="1">
        <f t="shared" ca="1" si="34"/>
        <v>13</v>
      </c>
      <c r="J101" s="23">
        <f t="shared" ca="1" si="35"/>
        <v>11.500029999999999</v>
      </c>
      <c r="K101" s="94">
        <f t="shared" ca="1" si="36"/>
        <v>14</v>
      </c>
      <c r="L101" s="95">
        <f t="shared" ca="1" si="37"/>
        <v>1.4999700000000011</v>
      </c>
      <c r="M101" s="95">
        <f t="shared" ca="1" si="40"/>
        <v>1.4999700000000011</v>
      </c>
      <c r="N101" s="35"/>
      <c r="O101" s="96"/>
      <c r="P101" s="114"/>
      <c r="Q101" s="96"/>
      <c r="R101" s="96"/>
      <c r="S101" s="35"/>
      <c r="T101" s="96"/>
      <c r="U101" s="114"/>
      <c r="V101" s="96"/>
      <c r="W101" s="96"/>
      <c r="X101" s="96"/>
      <c r="Y101" s="96"/>
      <c r="Z101" s="78"/>
      <c r="AA101" s="30"/>
      <c r="AB101" s="30"/>
      <c r="AC101" s="30"/>
      <c r="AD101" s="30"/>
      <c r="AE101" s="78"/>
      <c r="AF101" s="30"/>
      <c r="AG101" s="30"/>
    </row>
    <row r="102" spans="1:33" x14ac:dyDescent="0.45">
      <c r="A102" s="89">
        <f t="shared" si="41"/>
        <v>15</v>
      </c>
      <c r="B102" s="89">
        <f t="shared" si="29"/>
        <v>1</v>
      </c>
      <c r="C102" s="89">
        <f t="shared" si="30"/>
        <v>7</v>
      </c>
      <c r="D102" s="105">
        <f t="shared" si="38"/>
        <v>0.96875</v>
      </c>
      <c r="E102" s="105">
        <f t="shared" si="39"/>
        <v>1.8627318674216511</v>
      </c>
      <c r="F102" s="16">
        <f t="shared" ca="1" si="31"/>
        <v>1</v>
      </c>
      <c r="G102" s="16">
        <f t="shared" ca="1" si="32"/>
        <v>1</v>
      </c>
      <c r="H102" s="16">
        <f t="shared" ca="1" si="33"/>
        <v>1</v>
      </c>
      <c r="I102" s="1">
        <f t="shared" ca="1" si="34"/>
        <v>14</v>
      </c>
      <c r="J102" s="23">
        <f t="shared" ca="1" si="35"/>
        <v>15.000035</v>
      </c>
      <c r="K102" s="94">
        <f t="shared" ca="1" si="36"/>
        <v>3</v>
      </c>
      <c r="L102" s="95">
        <f t="shared" ca="1" si="37"/>
        <v>-1.0000350000000005</v>
      </c>
      <c r="M102" s="95">
        <f t="shared" ca="1" si="40"/>
        <v>1.4999800000000008</v>
      </c>
      <c r="N102" s="35"/>
      <c r="O102" s="96"/>
      <c r="P102" s="114"/>
      <c r="Q102" s="96"/>
      <c r="R102" s="96"/>
      <c r="S102" s="35"/>
      <c r="T102" s="96"/>
      <c r="U102" s="114"/>
      <c r="V102" s="96"/>
      <c r="W102" s="96"/>
      <c r="X102" s="96"/>
      <c r="Y102" s="96"/>
      <c r="Z102" s="78"/>
      <c r="AA102" s="30"/>
      <c r="AB102" s="30"/>
      <c r="AC102" s="30"/>
      <c r="AD102" s="30"/>
      <c r="AE102" s="78"/>
      <c r="AF102" s="30"/>
      <c r="AG102" s="30"/>
    </row>
    <row r="103" spans="1:33" s="8" customFormat="1" x14ac:dyDescent="0.45">
      <c r="A103" s="89"/>
      <c r="B103" s="89"/>
      <c r="C103" s="89"/>
      <c r="D103" s="69"/>
      <c r="E103" s="69"/>
      <c r="F103" s="69"/>
      <c r="G103" s="35"/>
      <c r="H103" s="96"/>
      <c r="I103" s="96"/>
      <c r="J103" s="35"/>
      <c r="K103" s="96"/>
      <c r="L103" s="96"/>
      <c r="M103" s="35"/>
      <c r="N103" s="96"/>
      <c r="O103" s="96"/>
      <c r="P103" s="96"/>
      <c r="Q103" s="96"/>
      <c r="R103" s="96"/>
      <c r="S103" s="96"/>
      <c r="T103" s="96"/>
      <c r="U103" s="96"/>
      <c r="V103" s="67"/>
      <c r="W103" s="67"/>
      <c r="X103" s="67"/>
      <c r="Y103" s="67"/>
    </row>
    <row r="104" spans="1:33" s="8" customFormat="1" x14ac:dyDescent="0.45">
      <c r="A104" s="89"/>
      <c r="B104" s="38" t="s">
        <v>83</v>
      </c>
      <c r="C104" s="89"/>
      <c r="D104" s="69"/>
      <c r="E104" s="69"/>
      <c r="F104" s="69"/>
      <c r="G104" s="35"/>
      <c r="H104" s="96"/>
      <c r="I104" s="96"/>
      <c r="J104" s="35"/>
      <c r="K104" s="96"/>
      <c r="L104" s="96"/>
      <c r="M104" s="35"/>
      <c r="N104" s="96"/>
      <c r="O104" s="96"/>
      <c r="P104" s="96"/>
      <c r="Q104" s="96"/>
      <c r="R104" s="96"/>
      <c r="S104" s="96"/>
      <c r="T104" s="96"/>
      <c r="U104" s="96"/>
      <c r="V104" s="67"/>
      <c r="W104" s="67"/>
      <c r="X104" s="67"/>
      <c r="Y104" s="67"/>
    </row>
    <row r="105" spans="1:33" s="8" customFormat="1" x14ac:dyDescent="0.45">
      <c r="A105" s="109" t="s">
        <v>39</v>
      </c>
      <c r="B105" s="115" t="s">
        <v>100</v>
      </c>
      <c r="C105" s="89"/>
      <c r="D105" s="69"/>
      <c r="E105" s="69"/>
      <c r="F105" s="69"/>
      <c r="G105" s="35"/>
      <c r="H105" s="96"/>
      <c r="I105" s="96"/>
      <c r="J105" s="35"/>
      <c r="K105" s="96"/>
      <c r="L105" s="96"/>
      <c r="M105" s="35"/>
      <c r="N105" s="96"/>
      <c r="O105" s="96"/>
      <c r="P105" s="96"/>
      <c r="Q105" s="96"/>
      <c r="R105" s="96"/>
      <c r="S105" s="96"/>
      <c r="T105" s="96"/>
      <c r="U105" s="96"/>
      <c r="V105" s="67"/>
      <c r="W105" s="67"/>
      <c r="X105" s="67"/>
      <c r="Y105" s="67"/>
    </row>
    <row r="106" spans="1:33" s="8" customFormat="1" x14ac:dyDescent="0.45">
      <c r="A106" s="109" t="s">
        <v>39</v>
      </c>
      <c r="B106" s="115" t="s">
        <v>99</v>
      </c>
      <c r="C106" s="89"/>
      <c r="D106" s="69"/>
      <c r="E106" s="69"/>
      <c r="F106" s="69"/>
      <c r="G106" s="35"/>
      <c r="H106" s="96"/>
      <c r="I106" s="96"/>
      <c r="J106" s="35"/>
      <c r="K106" s="96"/>
      <c r="L106" s="96"/>
      <c r="M106" s="35"/>
      <c r="N106" s="96"/>
      <c r="O106" s="96"/>
      <c r="P106" s="96"/>
      <c r="Q106" s="96"/>
      <c r="R106" s="96"/>
      <c r="S106" s="96"/>
      <c r="T106" s="96"/>
      <c r="U106" s="96"/>
      <c r="V106" s="67"/>
      <c r="W106" s="67"/>
      <c r="X106" s="67"/>
      <c r="Y106" s="67"/>
    </row>
    <row r="107" spans="1:33" s="8" customFormat="1" x14ac:dyDescent="0.45">
      <c r="A107" s="89"/>
      <c r="B107" s="89"/>
      <c r="C107" s="89"/>
      <c r="D107" s="69"/>
      <c r="E107" s="69"/>
      <c r="F107" s="69"/>
      <c r="G107" s="35"/>
      <c r="H107" s="96"/>
      <c r="I107" s="96"/>
      <c r="J107" s="35"/>
      <c r="K107" s="96"/>
      <c r="L107" s="96"/>
      <c r="M107" s="35"/>
      <c r="N107" s="96"/>
      <c r="O107" s="96"/>
      <c r="P107" s="96"/>
      <c r="Q107" s="96"/>
      <c r="R107" s="96"/>
      <c r="S107" s="96"/>
      <c r="T107" s="96"/>
      <c r="U107" s="96"/>
      <c r="V107" s="67"/>
      <c r="W107" s="67"/>
      <c r="X107" s="67"/>
      <c r="Y107" s="67"/>
    </row>
    <row r="108" spans="1:33" x14ac:dyDescent="0.45">
      <c r="A108" s="45"/>
      <c r="B108" s="44" t="s">
        <v>101</v>
      </c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</row>
    <row r="109" spans="1:33" x14ac:dyDescent="0.45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</row>
    <row r="110" spans="1:33" x14ac:dyDescent="0.45">
      <c r="A110" s="67"/>
      <c r="B110" s="66" t="str">
        <f>r_name</f>
        <v>Surface Finish</v>
      </c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</row>
    <row r="111" spans="1:33" x14ac:dyDescent="0.45">
      <c r="A111" s="67"/>
      <c r="B111" s="67" t="str">
        <f>r_units</f>
        <v>um</v>
      </c>
      <c r="C111" s="67"/>
      <c r="D111" s="67"/>
      <c r="E111" s="67"/>
      <c r="F111" s="67"/>
      <c r="G111" s="67"/>
      <c r="H111" s="67"/>
      <c r="I111" s="67"/>
      <c r="J111" s="67"/>
      <c r="K111" s="67"/>
      <c r="L111" s="37"/>
      <c r="M111" s="67"/>
      <c r="N111" s="67"/>
      <c r="O111" s="67"/>
      <c r="P111" s="67"/>
      <c r="Q111" s="67"/>
      <c r="R111" s="67"/>
      <c r="S111" s="131" t="s">
        <v>2</v>
      </c>
      <c r="T111" s="67"/>
      <c r="U111" s="67"/>
      <c r="V111" s="67"/>
      <c r="W111" s="67"/>
      <c r="X111" s="67"/>
      <c r="Y111" s="67"/>
    </row>
    <row r="112" spans="1:33" x14ac:dyDescent="0.45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74"/>
      <c r="M112" s="67"/>
      <c r="N112" s="67"/>
      <c r="O112" s="67"/>
      <c r="P112" s="67"/>
      <c r="Q112" s="67"/>
      <c r="R112" s="67"/>
      <c r="S112" s="131" t="str">
        <f>f_b</f>
        <v>Depth</v>
      </c>
      <c r="T112" s="67"/>
      <c r="U112" s="67"/>
      <c r="V112" s="67"/>
      <c r="W112" s="67"/>
      <c r="X112" s="67"/>
      <c r="Y112" s="67"/>
    </row>
    <row r="113" spans="1:25" x14ac:dyDescent="0.45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74" t="str">
        <f>f_b_units</f>
        <v>mm</v>
      </c>
      <c r="T113" s="67"/>
      <c r="U113" s="67"/>
      <c r="V113" s="67"/>
      <c r="W113" s="67"/>
      <c r="X113" s="67"/>
      <c r="Y113" s="67"/>
    </row>
    <row r="114" spans="1:25" x14ac:dyDescent="0.45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 t="s">
        <v>33</v>
      </c>
      <c r="L114" s="67"/>
      <c r="M114" s="67"/>
      <c r="N114" s="67"/>
      <c r="O114" s="67"/>
      <c r="P114" s="67"/>
      <c r="Q114" s="67"/>
      <c r="R114" s="37"/>
      <c r="S114" s="37"/>
      <c r="T114" s="67"/>
      <c r="U114" s="67"/>
      <c r="V114" s="67"/>
      <c r="W114" s="67"/>
      <c r="X114" s="67"/>
      <c r="Y114" s="67"/>
    </row>
    <row r="115" spans="1:25" x14ac:dyDescent="0.45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M115" s="67"/>
      <c r="N115" s="131" t="s">
        <v>128</v>
      </c>
      <c r="O115" s="35">
        <f t="shared" ref="O115:W115" si="42">( f_b_max - f_b_min ) * ( 0.5 * ( O116 + 1 ) ) + f_b_min</f>
        <v>3.5</v>
      </c>
      <c r="P115" s="35">
        <f t="shared" si="42"/>
        <v>3.9375</v>
      </c>
      <c r="Q115" s="35">
        <f t="shared" si="42"/>
        <v>4.375</v>
      </c>
      <c r="R115" s="35">
        <f t="shared" si="42"/>
        <v>4.8125</v>
      </c>
      <c r="S115" s="35">
        <f t="shared" si="42"/>
        <v>5.25</v>
      </c>
      <c r="T115" s="35">
        <f t="shared" si="42"/>
        <v>5.6875</v>
      </c>
      <c r="U115" s="35">
        <f t="shared" si="42"/>
        <v>6.125</v>
      </c>
      <c r="V115" s="35">
        <f t="shared" si="42"/>
        <v>6.5625</v>
      </c>
      <c r="W115" s="35">
        <f t="shared" si="42"/>
        <v>7</v>
      </c>
      <c r="Y115" s="67"/>
    </row>
    <row r="116" spans="1:25" x14ac:dyDescent="0.45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131" t="s">
        <v>128</v>
      </c>
      <c r="N116" s="131" t="s">
        <v>127</v>
      </c>
      <c r="O116" s="35">
        <v>-1</v>
      </c>
      <c r="P116" s="35">
        <f>O116+0.25</f>
        <v>-0.75</v>
      </c>
      <c r="Q116" s="35">
        <f t="shared" ref="Q116:W116" si="43">P116+0.25</f>
        <v>-0.5</v>
      </c>
      <c r="R116" s="35">
        <f t="shared" si="43"/>
        <v>-0.25</v>
      </c>
      <c r="S116" s="35">
        <f t="shared" si="43"/>
        <v>0</v>
      </c>
      <c r="T116" s="35">
        <f t="shared" si="43"/>
        <v>0.25</v>
      </c>
      <c r="U116" s="35">
        <f>T116+0.25</f>
        <v>0.5</v>
      </c>
      <c r="V116" s="35">
        <f t="shared" si="43"/>
        <v>0.75</v>
      </c>
      <c r="W116" s="35">
        <f t="shared" si="43"/>
        <v>1</v>
      </c>
      <c r="X116" s="67"/>
      <c r="Y116" s="67"/>
    </row>
    <row r="117" spans="1:25" x14ac:dyDescent="0.45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35">
        <f t="shared" ref="M117:M125" si="44">( f_a_max - f_a_min ) * ( 0.5 * ( N117 + 1 ) ) + f_a_min</f>
        <v>40</v>
      </c>
      <c r="N117" s="35">
        <v>-1</v>
      </c>
      <c r="O117" s="35">
        <f t="shared" ref="O117:W125" ca="1" si="45">$D$62+$E$62*$N117+$F$62*O$116+$G$62*$S$130+$H$62*$N117*O$116+$I$62*O$116*$S$130+$J$62*$S$130*$N117+$K$62*$N117*O$116*$S$130</f>
        <v>8.0000450000000001</v>
      </c>
      <c r="P117" s="35">
        <f t="shared" ca="1" si="45"/>
        <v>8.2500412499999989</v>
      </c>
      <c r="Q117" s="35">
        <f t="shared" ca="1" si="45"/>
        <v>8.5000374999999995</v>
      </c>
      <c r="R117" s="35">
        <f t="shared" ca="1" si="45"/>
        <v>8.7500337499999983</v>
      </c>
      <c r="S117" s="35">
        <f t="shared" ca="1" si="45"/>
        <v>9.0000299999999989</v>
      </c>
      <c r="T117" s="35">
        <f t="shared" ca="1" si="45"/>
        <v>9.2500262499999995</v>
      </c>
      <c r="U117" s="35">
        <f t="shared" ca="1" si="45"/>
        <v>9.5000224999999983</v>
      </c>
      <c r="V117" s="35">
        <f t="shared" ca="1" si="45"/>
        <v>9.7500187499999988</v>
      </c>
      <c r="W117" s="35">
        <f t="shared" ca="1" si="45"/>
        <v>10.000014999999998</v>
      </c>
      <c r="X117" s="67"/>
      <c r="Y117" s="103"/>
    </row>
    <row r="118" spans="1:25" x14ac:dyDescent="0.45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35">
        <f t="shared" si="44"/>
        <v>42.5</v>
      </c>
      <c r="N118" s="35">
        <f t="shared" ref="N118:N125" si="46">N117+0.25</f>
        <v>-0.75</v>
      </c>
      <c r="O118" s="35">
        <f t="shared" ca="1" si="45"/>
        <v>8.375045625000002</v>
      </c>
      <c r="P118" s="35">
        <f t="shared" ca="1" si="45"/>
        <v>8.6328543750000009</v>
      </c>
      <c r="Q118" s="35">
        <f t="shared" ca="1" si="45"/>
        <v>8.8906631250000014</v>
      </c>
      <c r="R118" s="35">
        <f t="shared" ca="1" si="45"/>
        <v>9.1484718750000003</v>
      </c>
      <c r="S118" s="35">
        <f t="shared" ca="1" si="45"/>
        <v>9.4062806250000008</v>
      </c>
      <c r="T118" s="35">
        <f t="shared" ca="1" si="45"/>
        <v>9.6640893750000014</v>
      </c>
      <c r="U118" s="35">
        <f t="shared" ca="1" si="45"/>
        <v>9.9218981250000002</v>
      </c>
      <c r="V118" s="35">
        <f t="shared" ca="1" si="45"/>
        <v>10.179706875000001</v>
      </c>
      <c r="W118" s="35">
        <f t="shared" ca="1" si="45"/>
        <v>10.437515625</v>
      </c>
      <c r="X118" s="67"/>
      <c r="Y118" s="103"/>
    </row>
    <row r="119" spans="1:25" x14ac:dyDescent="0.45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M119" s="35">
        <f t="shared" si="44"/>
        <v>45</v>
      </c>
      <c r="N119" s="35">
        <f t="shared" si="46"/>
        <v>-0.5</v>
      </c>
      <c r="O119" s="35">
        <f t="shared" ca="1" si="45"/>
        <v>8.7500462500000005</v>
      </c>
      <c r="P119" s="35">
        <f t="shared" ca="1" si="45"/>
        <v>9.0156675000000011</v>
      </c>
      <c r="Q119" s="35">
        <f t="shared" ca="1" si="45"/>
        <v>9.2812887500000016</v>
      </c>
      <c r="R119" s="35">
        <f t="shared" ca="1" si="45"/>
        <v>9.5469100000000005</v>
      </c>
      <c r="S119" s="35">
        <f t="shared" ca="1" si="45"/>
        <v>9.812531250000001</v>
      </c>
      <c r="T119" s="35">
        <f t="shared" ca="1" si="45"/>
        <v>10.078152500000002</v>
      </c>
      <c r="U119" s="35">
        <f t="shared" ca="1" si="45"/>
        <v>10.34377375</v>
      </c>
      <c r="V119" s="35">
        <f t="shared" ca="1" si="45"/>
        <v>10.609395000000001</v>
      </c>
      <c r="W119" s="35">
        <f t="shared" ca="1" si="45"/>
        <v>10.875016250000002</v>
      </c>
      <c r="X119" s="67"/>
      <c r="Y119" s="103"/>
    </row>
    <row r="120" spans="1:25" x14ac:dyDescent="0.45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109"/>
      <c r="L120" s="131" t="s">
        <v>1</v>
      </c>
      <c r="M120" s="35">
        <f t="shared" si="44"/>
        <v>47.5</v>
      </c>
      <c r="N120" s="35">
        <f t="shared" si="46"/>
        <v>-0.25</v>
      </c>
      <c r="O120" s="35">
        <f t="shared" ca="1" si="45"/>
        <v>9.1250468750000007</v>
      </c>
      <c r="P120" s="35">
        <f t="shared" ca="1" si="45"/>
        <v>9.3984806249999995</v>
      </c>
      <c r="Q120" s="35">
        <f t="shared" ca="1" si="45"/>
        <v>9.6719143750000001</v>
      </c>
      <c r="R120" s="35">
        <f t="shared" ca="1" si="45"/>
        <v>9.9453481249999989</v>
      </c>
      <c r="S120" s="35">
        <f t="shared" ca="1" si="45"/>
        <v>10.218781874999999</v>
      </c>
      <c r="T120" s="35">
        <f t="shared" ca="1" si="45"/>
        <v>10.492215625</v>
      </c>
      <c r="U120" s="35">
        <f t="shared" ca="1" si="45"/>
        <v>10.765649374999999</v>
      </c>
      <c r="V120" s="35">
        <f t="shared" ca="1" si="45"/>
        <v>11.039083124999999</v>
      </c>
      <c r="W120" s="35">
        <f t="shared" ca="1" si="45"/>
        <v>11.312516874999998</v>
      </c>
      <c r="X120" s="67"/>
      <c r="Y120" s="103"/>
    </row>
    <row r="121" spans="1:25" x14ac:dyDescent="0.45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109" t="str">
        <f>f_a</f>
        <v>Feed Rate</v>
      </c>
      <c r="M121" s="35">
        <f t="shared" si="44"/>
        <v>50</v>
      </c>
      <c r="N121" s="35">
        <f t="shared" si="46"/>
        <v>0</v>
      </c>
      <c r="O121" s="35">
        <f t="shared" ca="1" si="45"/>
        <v>9.5000474999999991</v>
      </c>
      <c r="P121" s="35">
        <f t="shared" ca="1" si="45"/>
        <v>9.7812937499999997</v>
      </c>
      <c r="Q121" s="35">
        <f t="shared" ca="1" si="45"/>
        <v>10.06254</v>
      </c>
      <c r="R121" s="35">
        <f t="shared" ca="1" si="45"/>
        <v>10.343786249999999</v>
      </c>
      <c r="S121" s="35">
        <f t="shared" ca="1" si="45"/>
        <v>10.6250325</v>
      </c>
      <c r="T121" s="35">
        <f t="shared" ca="1" si="45"/>
        <v>10.90627875</v>
      </c>
      <c r="U121" s="35">
        <f t="shared" ca="1" si="45"/>
        <v>11.187524999999999</v>
      </c>
      <c r="V121" s="35">
        <f t="shared" ca="1" si="45"/>
        <v>11.46877125</v>
      </c>
      <c r="W121" s="35">
        <f t="shared" ca="1" si="45"/>
        <v>11.7500175</v>
      </c>
      <c r="X121" s="67"/>
      <c r="Y121" s="103"/>
    </row>
    <row r="122" spans="1:25" x14ac:dyDescent="0.45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74" t="str">
        <f>f_a_units</f>
        <v>mm/sec</v>
      </c>
      <c r="M122" s="35">
        <f t="shared" si="44"/>
        <v>52.5</v>
      </c>
      <c r="N122" s="35">
        <f t="shared" si="46"/>
        <v>0.25</v>
      </c>
      <c r="O122" s="35">
        <f t="shared" ca="1" si="45"/>
        <v>9.8750481250000011</v>
      </c>
      <c r="P122" s="35">
        <f t="shared" ca="1" si="45"/>
        <v>10.164106875</v>
      </c>
      <c r="Q122" s="35">
        <f t="shared" ca="1" si="45"/>
        <v>10.453165625</v>
      </c>
      <c r="R122" s="35">
        <f t="shared" ca="1" si="45"/>
        <v>10.742224374999999</v>
      </c>
      <c r="S122" s="35">
        <f t="shared" ca="1" si="45"/>
        <v>11.031283125</v>
      </c>
      <c r="T122" s="35">
        <f t="shared" ca="1" si="45"/>
        <v>11.320341875</v>
      </c>
      <c r="U122" s="35">
        <f t="shared" ca="1" si="45"/>
        <v>11.609400624999999</v>
      </c>
      <c r="V122" s="35">
        <f t="shared" ca="1" si="45"/>
        <v>11.898459375</v>
      </c>
      <c r="W122" s="35">
        <f t="shared" ca="1" si="45"/>
        <v>12.187518124999999</v>
      </c>
      <c r="X122" s="67"/>
      <c r="Y122" s="103"/>
    </row>
    <row r="123" spans="1:25" x14ac:dyDescent="0.45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35">
        <f t="shared" si="44"/>
        <v>55</v>
      </c>
      <c r="N123" s="35">
        <f t="shared" si="46"/>
        <v>0.5</v>
      </c>
      <c r="O123" s="35">
        <f t="shared" ca="1" si="45"/>
        <v>10.250048749999998</v>
      </c>
      <c r="P123" s="35">
        <f t="shared" ca="1" si="45"/>
        <v>10.546919999999998</v>
      </c>
      <c r="Q123" s="35">
        <f t="shared" ca="1" si="45"/>
        <v>10.843791249999999</v>
      </c>
      <c r="R123" s="35">
        <f t="shared" ca="1" si="45"/>
        <v>11.140662499999998</v>
      </c>
      <c r="S123" s="35">
        <f t="shared" ca="1" si="45"/>
        <v>11.437533749999998</v>
      </c>
      <c r="T123" s="35">
        <f t="shared" ca="1" si="45"/>
        <v>11.734404999999999</v>
      </c>
      <c r="U123" s="35">
        <f t="shared" ca="1" si="45"/>
        <v>12.031276249999998</v>
      </c>
      <c r="V123" s="35">
        <f t="shared" ca="1" si="45"/>
        <v>12.328147499999998</v>
      </c>
      <c r="W123" s="35">
        <f t="shared" ca="1" si="45"/>
        <v>12.625018749999999</v>
      </c>
      <c r="X123" s="67"/>
      <c r="Y123" s="103"/>
    </row>
    <row r="124" spans="1:25" x14ac:dyDescent="0.45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35">
        <f t="shared" si="44"/>
        <v>57.5</v>
      </c>
      <c r="N124" s="35">
        <f t="shared" si="46"/>
        <v>0.75</v>
      </c>
      <c r="O124" s="35">
        <f t="shared" ca="1" si="45"/>
        <v>10.625049375</v>
      </c>
      <c r="P124" s="35">
        <f t="shared" ca="1" si="45"/>
        <v>10.929733124999998</v>
      </c>
      <c r="Q124" s="35">
        <f t="shared" ca="1" si="45"/>
        <v>11.234416874999999</v>
      </c>
      <c r="R124" s="35">
        <f t="shared" ca="1" si="45"/>
        <v>11.539100624999998</v>
      </c>
      <c r="S124" s="35">
        <f t="shared" ca="1" si="45"/>
        <v>11.843784374999998</v>
      </c>
      <c r="T124" s="35">
        <f t="shared" ca="1" si="45"/>
        <v>12.148468124999999</v>
      </c>
      <c r="U124" s="35">
        <f t="shared" ca="1" si="45"/>
        <v>12.453151874999998</v>
      </c>
      <c r="V124" s="35">
        <f t="shared" ca="1" si="45"/>
        <v>12.757835624999998</v>
      </c>
      <c r="W124" s="35">
        <f t="shared" ca="1" si="45"/>
        <v>13.062519374999997</v>
      </c>
      <c r="X124" s="67"/>
      <c r="Y124" s="103"/>
    </row>
    <row r="125" spans="1:25" x14ac:dyDescent="0.45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35">
        <f t="shared" si="44"/>
        <v>60</v>
      </c>
      <c r="N125" s="35">
        <f t="shared" si="46"/>
        <v>1</v>
      </c>
      <c r="O125" s="35">
        <f t="shared" ca="1" si="45"/>
        <v>11.000050000000002</v>
      </c>
      <c r="P125" s="35">
        <f t="shared" ca="1" si="45"/>
        <v>11.31254625</v>
      </c>
      <c r="Q125" s="35">
        <f t="shared" ca="1" si="45"/>
        <v>11.625042500000001</v>
      </c>
      <c r="R125" s="35">
        <f t="shared" ca="1" si="45"/>
        <v>11.93753875</v>
      </c>
      <c r="S125" s="35">
        <f t="shared" ca="1" si="45"/>
        <v>12.250035</v>
      </c>
      <c r="T125" s="35">
        <f t="shared" ca="1" si="45"/>
        <v>12.562531250000001</v>
      </c>
      <c r="U125" s="35">
        <f t="shared" ca="1" si="45"/>
        <v>12.8750275</v>
      </c>
      <c r="V125" s="35">
        <f t="shared" ca="1" si="45"/>
        <v>13.18752375</v>
      </c>
      <c r="W125" s="35">
        <f t="shared" ca="1" si="45"/>
        <v>13.500019999999999</v>
      </c>
      <c r="X125" s="67"/>
      <c r="Y125" s="67"/>
    </row>
    <row r="126" spans="1:25" x14ac:dyDescent="0.45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N126" s="67"/>
      <c r="O126" s="67"/>
      <c r="P126" s="67"/>
      <c r="Q126" s="67"/>
      <c r="S126" s="67"/>
      <c r="T126" s="67"/>
      <c r="U126" s="67"/>
      <c r="V126" s="67"/>
      <c r="W126" s="67"/>
      <c r="X126" s="67"/>
      <c r="Y126" s="67"/>
    </row>
    <row r="127" spans="1:25" x14ac:dyDescent="0.45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R127" s="67"/>
      <c r="S127" s="131" t="s">
        <v>4</v>
      </c>
      <c r="T127" s="67"/>
      <c r="U127" s="67"/>
      <c r="V127" s="67"/>
      <c r="W127" s="67"/>
      <c r="X127" s="67"/>
      <c r="Y127" s="67"/>
    </row>
    <row r="128" spans="1:25" x14ac:dyDescent="0.45">
      <c r="A128" s="67"/>
      <c r="B128" s="67"/>
      <c r="C128" s="131" t="str">
        <f>f_b</f>
        <v>Depth</v>
      </c>
      <c r="D128" s="67"/>
      <c r="E128" s="67"/>
      <c r="F128" s="67"/>
      <c r="G128" s="67"/>
      <c r="H128" s="67"/>
      <c r="I128" s="66" t="str">
        <f>f_a</f>
        <v>Feed Rate</v>
      </c>
      <c r="J128" s="67"/>
      <c r="K128" s="67"/>
      <c r="L128" s="67"/>
      <c r="M128" s="66" t="s">
        <v>132</v>
      </c>
      <c r="N128" s="67"/>
      <c r="O128" s="67"/>
      <c r="P128" s="67"/>
      <c r="Q128" s="131" t="s">
        <v>129</v>
      </c>
      <c r="R128" s="139" t="s">
        <v>131</v>
      </c>
      <c r="S128" s="131" t="str">
        <f>f_c</f>
        <v>Angle</v>
      </c>
      <c r="T128" s="139" t="s">
        <v>131</v>
      </c>
      <c r="U128" s="131" t="s">
        <v>130</v>
      </c>
      <c r="V128" s="67"/>
      <c r="W128" s="67"/>
      <c r="X128" s="67"/>
      <c r="Y128" s="67"/>
    </row>
    <row r="129" spans="1:25" x14ac:dyDescent="0.45">
      <c r="A129" s="67"/>
      <c r="B129" s="67"/>
      <c r="C129" s="74" t="str">
        <f>f_b_units</f>
        <v>mm</v>
      </c>
      <c r="D129" s="67"/>
      <c r="E129" s="67"/>
      <c r="F129" s="67"/>
      <c r="G129" s="67"/>
      <c r="H129" s="67"/>
      <c r="I129" s="74" t="str">
        <f>f_a_units</f>
        <v>mm/sec</v>
      </c>
      <c r="J129" s="67"/>
      <c r="K129" s="67"/>
      <c r="L129" s="67"/>
      <c r="M129" s="82">
        <f ca="1">O117-O125+W125-W117</f>
        <v>0.5</v>
      </c>
      <c r="N129" s="67"/>
      <c r="O129" s="67"/>
      <c r="P129" s="67"/>
      <c r="Q129" s="133">
        <f>f_c_min</f>
        <v>1.5</v>
      </c>
      <c r="R129" s="67"/>
      <c r="S129" s="140">
        <v>1.5</v>
      </c>
      <c r="T129" s="67"/>
      <c r="U129" s="133">
        <f>f_c_max</f>
        <v>2.5</v>
      </c>
      <c r="V129" s="67" t="str">
        <f>f_c_units</f>
        <v>deg</v>
      </c>
      <c r="W129" s="67"/>
      <c r="X129" s="67"/>
      <c r="Y129" s="67"/>
    </row>
    <row r="130" spans="1:25" x14ac:dyDescent="0.45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144">
        <v>-1</v>
      </c>
      <c r="R130" s="147" t="s">
        <v>131</v>
      </c>
      <c r="S130" s="138">
        <f>2 * ( S129 - f_c_min ) / ( f_c_max - f_c_min ) - 1</f>
        <v>-1</v>
      </c>
      <c r="T130" s="147" t="s">
        <v>131</v>
      </c>
      <c r="U130" s="144">
        <v>1</v>
      </c>
      <c r="V130" s="67"/>
      <c r="W130" s="67"/>
      <c r="X130" s="67"/>
      <c r="Y130" s="67"/>
    </row>
    <row r="131" spans="1:25" x14ac:dyDescent="0.45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141" t="s">
        <v>127</v>
      </c>
      <c r="T131" s="67"/>
      <c r="U131" s="67"/>
      <c r="V131" s="67"/>
      <c r="W131" s="67"/>
      <c r="X131" s="67"/>
      <c r="Y131" s="67"/>
    </row>
    <row r="132" spans="1:25" x14ac:dyDescent="0.45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</row>
    <row r="133" spans="1:25" x14ac:dyDescent="0.45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</row>
    <row r="134" spans="1:25" x14ac:dyDescent="0.45">
      <c r="A134" s="67"/>
      <c r="B134" s="66" t="str">
        <f>r_name</f>
        <v>Surface Finish</v>
      </c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</row>
    <row r="135" spans="1:25" x14ac:dyDescent="0.45">
      <c r="A135" s="67"/>
      <c r="B135" s="67" t="str">
        <f>r_units</f>
        <v>um</v>
      </c>
      <c r="C135" s="67"/>
      <c r="D135" s="67"/>
      <c r="E135" s="67"/>
      <c r="F135" s="67"/>
      <c r="G135" s="67"/>
      <c r="H135" s="67"/>
      <c r="I135" s="67"/>
      <c r="J135" s="67"/>
      <c r="K135" s="67"/>
      <c r="L135" s="37"/>
      <c r="M135" s="67"/>
      <c r="N135" s="67"/>
      <c r="O135" s="67"/>
      <c r="P135" s="67"/>
      <c r="Q135" s="67"/>
      <c r="R135" s="67"/>
      <c r="S135" s="37" t="s">
        <v>1</v>
      </c>
      <c r="T135" s="67"/>
      <c r="U135" s="67"/>
      <c r="V135" s="67"/>
      <c r="W135" s="67"/>
      <c r="X135" s="67"/>
      <c r="Y135" s="67"/>
    </row>
    <row r="136" spans="1:25" x14ac:dyDescent="0.45">
      <c r="A136" s="67"/>
      <c r="B136" s="66"/>
      <c r="C136" s="67"/>
      <c r="D136" s="67"/>
      <c r="E136" s="67"/>
      <c r="F136" s="67"/>
      <c r="G136" s="67"/>
      <c r="H136" s="67"/>
      <c r="I136" s="67"/>
      <c r="J136" s="67"/>
      <c r="K136" s="67"/>
      <c r="L136" s="74"/>
      <c r="M136" s="67"/>
      <c r="N136" s="67"/>
      <c r="O136" s="67"/>
      <c r="P136" s="67"/>
      <c r="Q136" s="67"/>
      <c r="R136" s="67"/>
      <c r="S136" s="38" t="str">
        <f>f_a</f>
        <v>Feed Rate</v>
      </c>
      <c r="T136" s="67"/>
      <c r="U136" s="67"/>
      <c r="V136" s="67"/>
      <c r="W136" s="67"/>
      <c r="X136" s="67"/>
      <c r="Y136" s="67"/>
    </row>
    <row r="137" spans="1:25" x14ac:dyDescent="0.45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74" t="str">
        <f>f_a_units</f>
        <v>mm/sec</v>
      </c>
      <c r="T137" s="67"/>
      <c r="U137" s="67"/>
      <c r="V137" s="67"/>
      <c r="W137" s="67"/>
      <c r="X137" s="67"/>
      <c r="Y137" s="67"/>
    </row>
    <row r="138" spans="1:25" x14ac:dyDescent="0.45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 t="s">
        <v>33</v>
      </c>
      <c r="L138" s="67"/>
      <c r="M138" s="67"/>
      <c r="N138" s="67"/>
      <c r="O138" s="67"/>
      <c r="P138" s="67"/>
      <c r="Q138" s="67"/>
      <c r="T138" s="67"/>
      <c r="U138" s="67"/>
      <c r="V138" s="67"/>
      <c r="W138" s="67"/>
      <c r="X138" s="67"/>
      <c r="Y138" s="67"/>
    </row>
    <row r="139" spans="1:25" x14ac:dyDescent="0.45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M139" s="67"/>
      <c r="N139" s="131" t="s">
        <v>128</v>
      </c>
      <c r="O139" s="35">
        <f t="shared" ref="O139:W139" si="47">( f_a_max - f_a_min ) * ( 0.5 * ( O140 + 1 ) ) + f_a_min</f>
        <v>40</v>
      </c>
      <c r="P139" s="35">
        <f t="shared" si="47"/>
        <v>42.5</v>
      </c>
      <c r="Q139" s="35">
        <f t="shared" si="47"/>
        <v>45</v>
      </c>
      <c r="R139" s="35">
        <f t="shared" si="47"/>
        <v>47.5</v>
      </c>
      <c r="S139" s="35">
        <f t="shared" si="47"/>
        <v>50</v>
      </c>
      <c r="T139" s="35">
        <f t="shared" si="47"/>
        <v>52.5</v>
      </c>
      <c r="U139" s="35">
        <f t="shared" si="47"/>
        <v>55</v>
      </c>
      <c r="V139" s="35">
        <f t="shared" si="47"/>
        <v>57.5</v>
      </c>
      <c r="W139" s="35">
        <f t="shared" si="47"/>
        <v>60</v>
      </c>
      <c r="Y139" s="67"/>
    </row>
    <row r="140" spans="1:25" x14ac:dyDescent="0.45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131" t="s">
        <v>128</v>
      </c>
      <c r="N140" s="131" t="s">
        <v>127</v>
      </c>
      <c r="O140" s="35">
        <v>-1</v>
      </c>
      <c r="P140" s="35">
        <f>O140+0.25</f>
        <v>-0.75</v>
      </c>
      <c r="Q140" s="35">
        <f t="shared" ref="Q140" si="48">P140+0.25</f>
        <v>-0.5</v>
      </c>
      <c r="R140" s="35">
        <f t="shared" ref="R140" si="49">Q140+0.25</f>
        <v>-0.25</v>
      </c>
      <c r="S140" s="35">
        <f t="shared" ref="S140" si="50">R140+0.25</f>
        <v>0</v>
      </c>
      <c r="T140" s="35">
        <f t="shared" ref="T140" si="51">S140+0.25</f>
        <v>0.25</v>
      </c>
      <c r="U140" s="35">
        <f>T140+0.25</f>
        <v>0.5</v>
      </c>
      <c r="V140" s="35">
        <f t="shared" ref="V140" si="52">U140+0.25</f>
        <v>0.75</v>
      </c>
      <c r="W140" s="35">
        <f t="shared" ref="W140" si="53">V140+0.25</f>
        <v>1</v>
      </c>
      <c r="X140" s="67"/>
      <c r="Y140" s="67"/>
    </row>
    <row r="141" spans="1:25" x14ac:dyDescent="0.45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35">
        <f t="shared" ref="M141:M149" si="54">( f_c_max - f_c_min ) * ( 0.5 * ( N141 + 1 ) ) + f_c_min</f>
        <v>1.5</v>
      </c>
      <c r="N141" s="35">
        <v>-1</v>
      </c>
      <c r="O141" s="35">
        <f t="shared" ref="O141:W149" ca="1" si="55">_o+_a*O$140+_b*$S$154+_c*$N141+_ab*O$140*$S$154+_bc*$S$154*$N141+_ca*$N141*O$140+_abc*O$140*$S$154*$N141</f>
        <v>8.0000450000000001</v>
      </c>
      <c r="P141" s="35">
        <f t="shared" ca="1" si="55"/>
        <v>8.375045625000002</v>
      </c>
      <c r="Q141" s="35">
        <f t="shared" ca="1" si="55"/>
        <v>8.7500462500000005</v>
      </c>
      <c r="R141" s="35">
        <f t="shared" ca="1" si="55"/>
        <v>9.1250468750000007</v>
      </c>
      <c r="S141" s="35">
        <f t="shared" ca="1" si="55"/>
        <v>9.5000474999999991</v>
      </c>
      <c r="T141" s="35">
        <f t="shared" ca="1" si="55"/>
        <v>9.8750481250000011</v>
      </c>
      <c r="U141" s="35">
        <f t="shared" ca="1" si="55"/>
        <v>10.250048749999998</v>
      </c>
      <c r="V141" s="35">
        <f t="shared" ca="1" si="55"/>
        <v>10.625049375</v>
      </c>
      <c r="W141" s="35">
        <f t="shared" ca="1" si="55"/>
        <v>11.000050000000002</v>
      </c>
      <c r="X141" s="67"/>
      <c r="Y141" s="67"/>
    </row>
    <row r="142" spans="1:25" x14ac:dyDescent="0.45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35">
        <f t="shared" si="54"/>
        <v>1.625</v>
      </c>
      <c r="N142" s="35">
        <f t="shared" ref="N142:N149" si="56">N141+0.25</f>
        <v>-0.75</v>
      </c>
      <c r="O142" s="35">
        <f t="shared" ca="1" si="55"/>
        <v>8.3125413187500001</v>
      </c>
      <c r="P142" s="35">
        <f t="shared" ca="1" si="55"/>
        <v>8.656292091406252</v>
      </c>
      <c r="Q142" s="35">
        <f t="shared" ca="1" si="55"/>
        <v>9.0000428640624985</v>
      </c>
      <c r="R142" s="35">
        <f t="shared" ca="1" si="55"/>
        <v>9.3437936367187504</v>
      </c>
      <c r="S142" s="35">
        <f t="shared" ca="1" si="55"/>
        <v>9.6875444093749987</v>
      </c>
      <c r="T142" s="35">
        <f t="shared" ca="1" si="55"/>
        <v>10.031295182031251</v>
      </c>
      <c r="U142" s="35">
        <f t="shared" ca="1" si="55"/>
        <v>10.375045954687499</v>
      </c>
      <c r="V142" s="35">
        <f t="shared" ca="1" si="55"/>
        <v>10.718796727343749</v>
      </c>
      <c r="W142" s="35">
        <f t="shared" ca="1" si="55"/>
        <v>11.062547500000001</v>
      </c>
      <c r="X142" s="67"/>
      <c r="Y142" s="67"/>
    </row>
    <row r="143" spans="1:25" x14ac:dyDescent="0.45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74"/>
      <c r="M143" s="35">
        <f t="shared" si="54"/>
        <v>1.75</v>
      </c>
      <c r="N143" s="35">
        <f t="shared" si="56"/>
        <v>-0.5</v>
      </c>
      <c r="O143" s="35">
        <f t="shared" ca="1" si="55"/>
        <v>8.625037637500002</v>
      </c>
      <c r="P143" s="35">
        <f t="shared" ca="1" si="55"/>
        <v>8.9375385578125019</v>
      </c>
      <c r="Q143" s="35">
        <f t="shared" ca="1" si="55"/>
        <v>9.2500394781250002</v>
      </c>
      <c r="R143" s="35">
        <f t="shared" ca="1" si="55"/>
        <v>9.5625403984375019</v>
      </c>
      <c r="S143" s="35">
        <f t="shared" ca="1" si="55"/>
        <v>9.8750413187500001</v>
      </c>
      <c r="T143" s="35">
        <f t="shared" ca="1" si="55"/>
        <v>10.187542239062502</v>
      </c>
      <c r="U143" s="35">
        <f t="shared" ca="1" si="55"/>
        <v>10.500043159375</v>
      </c>
      <c r="V143" s="35">
        <f t="shared" ca="1" si="55"/>
        <v>10.812544079687502</v>
      </c>
      <c r="W143" s="35">
        <f t="shared" ca="1" si="55"/>
        <v>11.125045000000002</v>
      </c>
      <c r="X143" s="67"/>
      <c r="Y143" s="67"/>
    </row>
    <row r="144" spans="1:25" x14ac:dyDescent="0.45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L144" s="131" t="s">
        <v>4</v>
      </c>
      <c r="M144" s="35">
        <f t="shared" si="54"/>
        <v>1.875</v>
      </c>
      <c r="N144" s="35">
        <f t="shared" si="56"/>
        <v>-0.25</v>
      </c>
      <c r="O144" s="35">
        <f t="shared" ca="1" si="55"/>
        <v>8.937533956250002</v>
      </c>
      <c r="P144" s="35">
        <f t="shared" ca="1" si="55"/>
        <v>9.2187850242187519</v>
      </c>
      <c r="Q144" s="35">
        <f t="shared" ca="1" si="55"/>
        <v>9.5000360921875</v>
      </c>
      <c r="R144" s="35">
        <f t="shared" ca="1" si="55"/>
        <v>9.7812871601562517</v>
      </c>
      <c r="S144" s="35">
        <f t="shared" ca="1" si="55"/>
        <v>10.062538228125</v>
      </c>
      <c r="T144" s="35">
        <f t="shared" ca="1" si="55"/>
        <v>10.343789296093751</v>
      </c>
      <c r="U144" s="35">
        <f t="shared" ca="1" si="55"/>
        <v>10.6250403640625</v>
      </c>
      <c r="V144" s="35">
        <f t="shared" ca="1" si="55"/>
        <v>10.906291432031251</v>
      </c>
      <c r="W144" s="35">
        <f t="shared" ca="1" si="55"/>
        <v>11.187542500000001</v>
      </c>
      <c r="X144" s="67"/>
      <c r="Y144" s="67"/>
    </row>
    <row r="145" spans="1:25" x14ac:dyDescent="0.45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131" t="str">
        <f>f_c</f>
        <v>Angle</v>
      </c>
      <c r="M145" s="35">
        <f t="shared" si="54"/>
        <v>2</v>
      </c>
      <c r="N145" s="35">
        <f t="shared" si="56"/>
        <v>0</v>
      </c>
      <c r="O145" s="35">
        <f t="shared" ca="1" si="55"/>
        <v>9.2500302750000003</v>
      </c>
      <c r="P145" s="35">
        <f t="shared" ca="1" si="55"/>
        <v>9.5000314906250019</v>
      </c>
      <c r="Q145" s="35">
        <f t="shared" ca="1" si="55"/>
        <v>9.7500327062499998</v>
      </c>
      <c r="R145" s="35">
        <f t="shared" ca="1" si="55"/>
        <v>10.000033921875001</v>
      </c>
      <c r="S145" s="35">
        <f t="shared" ca="1" si="55"/>
        <v>10.250035137499999</v>
      </c>
      <c r="T145" s="35">
        <f t="shared" ca="1" si="55"/>
        <v>10.500036353125001</v>
      </c>
      <c r="U145" s="35">
        <f t="shared" ca="1" si="55"/>
        <v>10.750037568749999</v>
      </c>
      <c r="V145" s="35">
        <f t="shared" ca="1" si="55"/>
        <v>11.000038784375</v>
      </c>
      <c r="W145" s="35">
        <f t="shared" ca="1" si="55"/>
        <v>11.250040000000002</v>
      </c>
      <c r="X145" s="67"/>
      <c r="Y145" s="67"/>
    </row>
    <row r="146" spans="1:25" x14ac:dyDescent="0.45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74" t="str">
        <f>f_c_units</f>
        <v>deg</v>
      </c>
      <c r="M146" s="35">
        <f t="shared" si="54"/>
        <v>2.125</v>
      </c>
      <c r="N146" s="35">
        <f t="shared" si="56"/>
        <v>0.25</v>
      </c>
      <c r="O146" s="35">
        <f t="shared" ca="1" si="55"/>
        <v>9.5625265937500021</v>
      </c>
      <c r="P146" s="35">
        <f t="shared" ca="1" si="55"/>
        <v>9.7812779570312518</v>
      </c>
      <c r="Q146" s="35">
        <f t="shared" ca="1" si="55"/>
        <v>10.0000293203125</v>
      </c>
      <c r="R146" s="35">
        <f t="shared" ca="1" si="55"/>
        <v>10.218780683593751</v>
      </c>
      <c r="S146" s="35">
        <f t="shared" ca="1" si="55"/>
        <v>10.437532046874999</v>
      </c>
      <c r="T146" s="35">
        <f t="shared" ca="1" si="55"/>
        <v>10.65628341015625</v>
      </c>
      <c r="U146" s="35">
        <f t="shared" ca="1" si="55"/>
        <v>10.875034773437498</v>
      </c>
      <c r="V146" s="35">
        <f t="shared" ca="1" si="55"/>
        <v>11.09378613671875</v>
      </c>
      <c r="W146" s="35">
        <f t="shared" ca="1" si="55"/>
        <v>11.312537499999999</v>
      </c>
      <c r="X146" s="67"/>
      <c r="Y146" s="67"/>
    </row>
    <row r="147" spans="1:25" x14ac:dyDescent="0.45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35">
        <f t="shared" si="54"/>
        <v>2.25</v>
      </c>
      <c r="N147" s="35">
        <f t="shared" si="56"/>
        <v>0.5</v>
      </c>
      <c r="O147" s="35">
        <f t="shared" ca="1" si="55"/>
        <v>9.8750229124999986</v>
      </c>
      <c r="P147" s="35">
        <f t="shared" ca="1" si="55"/>
        <v>10.062524423437502</v>
      </c>
      <c r="Q147" s="35">
        <f t="shared" ca="1" si="55"/>
        <v>10.250025934375</v>
      </c>
      <c r="R147" s="35">
        <f t="shared" ca="1" si="55"/>
        <v>10.437527445312501</v>
      </c>
      <c r="S147" s="35">
        <f t="shared" ca="1" si="55"/>
        <v>10.625028956249999</v>
      </c>
      <c r="T147" s="35">
        <f t="shared" ca="1" si="55"/>
        <v>10.8125304671875</v>
      </c>
      <c r="U147" s="35">
        <f t="shared" ca="1" si="55"/>
        <v>11.000031978124998</v>
      </c>
      <c r="V147" s="35">
        <f t="shared" ca="1" si="55"/>
        <v>11.187533489062499</v>
      </c>
      <c r="W147" s="35">
        <f t="shared" ca="1" si="55"/>
        <v>11.375035000000002</v>
      </c>
      <c r="X147" s="67"/>
      <c r="Y147" s="67"/>
    </row>
    <row r="148" spans="1:25" x14ac:dyDescent="0.45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35">
        <f t="shared" si="54"/>
        <v>2.375</v>
      </c>
      <c r="N148" s="35">
        <f t="shared" si="56"/>
        <v>0.75</v>
      </c>
      <c r="O148" s="35">
        <f t="shared" ca="1" si="55"/>
        <v>10.18751923125</v>
      </c>
      <c r="P148" s="35">
        <f t="shared" ca="1" si="55"/>
        <v>10.343770889843752</v>
      </c>
      <c r="Q148" s="35">
        <f t="shared" ca="1" si="55"/>
        <v>10.500022548437501</v>
      </c>
      <c r="R148" s="35">
        <f t="shared" ca="1" si="55"/>
        <v>10.656274207031252</v>
      </c>
      <c r="S148" s="35">
        <f t="shared" ca="1" si="55"/>
        <v>10.812525865625</v>
      </c>
      <c r="T148" s="35">
        <f t="shared" ca="1" si="55"/>
        <v>10.968777524218751</v>
      </c>
      <c r="U148" s="35">
        <f t="shared" ca="1" si="55"/>
        <v>11.125029182812499</v>
      </c>
      <c r="V148" s="35">
        <f t="shared" ca="1" si="55"/>
        <v>11.281280841406252</v>
      </c>
      <c r="W148" s="35">
        <f t="shared" ca="1" si="55"/>
        <v>11.437532500000003</v>
      </c>
      <c r="X148" s="67"/>
      <c r="Y148" s="67"/>
    </row>
    <row r="149" spans="1:25" x14ac:dyDescent="0.45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35">
        <f t="shared" si="54"/>
        <v>2.5</v>
      </c>
      <c r="N149" s="35">
        <f t="shared" si="56"/>
        <v>1</v>
      </c>
      <c r="O149" s="35">
        <f t="shared" ca="1" si="55"/>
        <v>10.500015550000004</v>
      </c>
      <c r="P149" s="35">
        <f t="shared" ca="1" si="55"/>
        <v>10.625017356250002</v>
      </c>
      <c r="Q149" s="35">
        <f t="shared" ca="1" si="55"/>
        <v>10.750019162499999</v>
      </c>
      <c r="R149" s="35">
        <f t="shared" ca="1" si="55"/>
        <v>10.875020968750002</v>
      </c>
      <c r="S149" s="35">
        <f t="shared" ca="1" si="55"/>
        <v>11.000022775</v>
      </c>
      <c r="T149" s="35">
        <f t="shared" ca="1" si="55"/>
        <v>11.125024581250001</v>
      </c>
      <c r="U149" s="35">
        <f t="shared" ca="1" si="55"/>
        <v>11.2500263875</v>
      </c>
      <c r="V149" s="35">
        <f t="shared" ca="1" si="55"/>
        <v>11.375028193750001</v>
      </c>
      <c r="W149" s="35">
        <f t="shared" ca="1" si="55"/>
        <v>11.500029999999999</v>
      </c>
      <c r="X149" s="67"/>
      <c r="Y149" s="67"/>
    </row>
    <row r="150" spans="1:25" x14ac:dyDescent="0.45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</row>
    <row r="151" spans="1:25" x14ac:dyDescent="0.45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S151" s="37" t="s">
        <v>2</v>
      </c>
      <c r="U151" s="67"/>
      <c r="V151" s="67"/>
      <c r="W151" s="67"/>
      <c r="X151" s="67"/>
      <c r="Y151" s="67"/>
    </row>
    <row r="152" spans="1:25" x14ac:dyDescent="0.45">
      <c r="A152" s="67"/>
      <c r="B152" s="67"/>
      <c r="C152" s="67"/>
      <c r="D152" s="67"/>
      <c r="E152" s="67"/>
      <c r="F152" s="67"/>
      <c r="G152" s="67"/>
      <c r="H152" s="67"/>
      <c r="I152" s="66"/>
      <c r="J152" s="67"/>
      <c r="K152" s="67"/>
      <c r="L152" s="67"/>
      <c r="M152" s="66" t="s">
        <v>132</v>
      </c>
      <c r="N152" s="67"/>
      <c r="O152" s="67"/>
      <c r="P152" s="67"/>
      <c r="Q152" s="131" t="s">
        <v>129</v>
      </c>
      <c r="R152" s="139" t="s">
        <v>131</v>
      </c>
      <c r="S152" s="131" t="str">
        <f>f_b</f>
        <v>Depth</v>
      </c>
      <c r="T152" s="139" t="s">
        <v>131</v>
      </c>
      <c r="U152" s="131" t="s">
        <v>130</v>
      </c>
      <c r="V152" s="67"/>
      <c r="W152" s="67"/>
      <c r="X152" s="67"/>
      <c r="Y152" s="67"/>
    </row>
    <row r="153" spans="1:25" x14ac:dyDescent="0.45">
      <c r="A153" s="67"/>
      <c r="B153" s="67"/>
      <c r="C153" s="131" t="str">
        <f>f_a</f>
        <v>Feed Rate</v>
      </c>
      <c r="D153" s="67"/>
      <c r="E153" s="67"/>
      <c r="F153" s="67"/>
      <c r="G153" s="67"/>
      <c r="H153" s="67"/>
      <c r="I153" s="131" t="str">
        <f>f_c</f>
        <v>Angle</v>
      </c>
      <c r="J153" s="67"/>
      <c r="K153" s="67"/>
      <c r="L153" s="67"/>
      <c r="M153" s="82">
        <f ca="1">O141-O149+W149-W141</f>
        <v>-1.9999905500000068</v>
      </c>
      <c r="N153" s="67"/>
      <c r="O153" s="67"/>
      <c r="P153" s="67"/>
      <c r="Q153" s="133">
        <f>f_b_min</f>
        <v>3.5</v>
      </c>
      <c r="R153" s="67"/>
      <c r="S153" s="140">
        <v>3.5</v>
      </c>
      <c r="T153" s="67"/>
      <c r="U153" s="133">
        <f>f_b_max</f>
        <v>7</v>
      </c>
      <c r="V153" s="67" t="str">
        <f>f_b_units</f>
        <v>mm</v>
      </c>
      <c r="W153" s="67"/>
      <c r="X153" s="67"/>
      <c r="Y153" s="67"/>
    </row>
    <row r="154" spans="1:25" x14ac:dyDescent="0.45">
      <c r="A154" s="67"/>
      <c r="B154" s="67"/>
      <c r="C154" s="74" t="str">
        <f>f_a_units</f>
        <v>mm/sec</v>
      </c>
      <c r="D154" s="67"/>
      <c r="E154" s="67"/>
      <c r="F154" s="67"/>
      <c r="G154" s="67"/>
      <c r="H154" s="67"/>
      <c r="I154" s="74" t="str">
        <f>f_c_units</f>
        <v>deg</v>
      </c>
      <c r="J154" s="67"/>
      <c r="K154" s="67"/>
      <c r="L154" s="67"/>
      <c r="M154" s="67"/>
      <c r="N154" s="67"/>
      <c r="O154" s="67"/>
      <c r="P154" s="67"/>
      <c r="Q154" s="144">
        <v>-1</v>
      </c>
      <c r="R154" s="147" t="s">
        <v>131</v>
      </c>
      <c r="S154" s="138">
        <f>2 * ( S153 - f_b_min ) / ( f_b_max - f_b_min ) - 1</f>
        <v>-1</v>
      </c>
      <c r="T154" s="147" t="s">
        <v>131</v>
      </c>
      <c r="U154" s="144">
        <v>1</v>
      </c>
      <c r="V154" s="67"/>
      <c r="W154" s="67"/>
      <c r="X154" s="67"/>
      <c r="Y154" s="67"/>
    </row>
    <row r="155" spans="1:25" x14ac:dyDescent="0.45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141" t="s">
        <v>127</v>
      </c>
      <c r="T155" s="67"/>
      <c r="U155" s="67"/>
      <c r="V155" s="67"/>
      <c r="W155" s="67"/>
      <c r="X155" s="67"/>
      <c r="Y155" s="67"/>
    </row>
    <row r="156" spans="1:25" x14ac:dyDescent="0.45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</row>
    <row r="157" spans="1:25" x14ac:dyDescent="0.45">
      <c r="A157" s="67"/>
      <c r="B157" s="66" t="str">
        <f>r_name</f>
        <v>Surface Finish</v>
      </c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</row>
    <row r="158" spans="1:25" x14ac:dyDescent="0.45">
      <c r="A158" s="67"/>
      <c r="B158" s="67" t="str">
        <f>r_units</f>
        <v>um</v>
      </c>
      <c r="C158" s="67"/>
      <c r="D158" s="67"/>
      <c r="E158" s="67"/>
      <c r="F158" s="67"/>
      <c r="G158" s="67"/>
      <c r="H158" s="67"/>
      <c r="I158" s="67"/>
      <c r="J158" s="67"/>
      <c r="K158" s="67"/>
      <c r="L158" s="37"/>
      <c r="M158" s="67"/>
      <c r="N158" s="67"/>
      <c r="O158" s="67"/>
      <c r="P158" s="67"/>
      <c r="Q158" s="67"/>
      <c r="R158" s="67"/>
      <c r="S158" s="131" t="s">
        <v>4</v>
      </c>
      <c r="T158" s="67"/>
      <c r="U158" s="67"/>
      <c r="V158" s="67"/>
      <c r="W158" s="67"/>
      <c r="X158" s="67"/>
      <c r="Y158" s="67"/>
    </row>
    <row r="159" spans="1:25" x14ac:dyDescent="0.45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74"/>
      <c r="M159" s="67"/>
      <c r="N159" s="67"/>
      <c r="O159" s="67"/>
      <c r="P159" s="67"/>
      <c r="Q159" s="67"/>
      <c r="R159" s="67"/>
      <c r="S159" s="131" t="str">
        <f>f_c</f>
        <v>Angle</v>
      </c>
      <c r="T159" s="67"/>
      <c r="U159" s="67"/>
      <c r="V159" s="67"/>
      <c r="W159" s="67"/>
      <c r="X159" s="67"/>
      <c r="Y159" s="67"/>
    </row>
    <row r="160" spans="1:25" x14ac:dyDescent="0.45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74" t="str">
        <f>f_c_units</f>
        <v>deg</v>
      </c>
      <c r="T160" s="67"/>
      <c r="U160" s="67"/>
      <c r="V160" s="67"/>
      <c r="W160" s="67"/>
      <c r="X160" s="67"/>
      <c r="Y160" s="67"/>
    </row>
    <row r="161" spans="1:25" x14ac:dyDescent="0.45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 t="s">
        <v>33</v>
      </c>
      <c r="L161" s="67"/>
      <c r="M161" s="67"/>
      <c r="N161" s="67"/>
      <c r="O161" s="67"/>
      <c r="P161" s="67"/>
      <c r="Q161" s="67"/>
      <c r="T161" s="67"/>
      <c r="U161" s="67"/>
      <c r="V161" s="67"/>
      <c r="W161" s="67"/>
      <c r="X161" s="67"/>
      <c r="Y161" s="67"/>
    </row>
    <row r="162" spans="1:25" x14ac:dyDescent="0.45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M162" s="67"/>
      <c r="N162" s="131" t="s">
        <v>128</v>
      </c>
      <c r="O162" s="35">
        <f t="shared" ref="O162:W162" si="57">( f_c_max - f_c_min ) * ( 0.5 * ( O163 + 1 ) ) + f_c_min</f>
        <v>1.5</v>
      </c>
      <c r="P162" s="35">
        <f t="shared" si="57"/>
        <v>1.625</v>
      </c>
      <c r="Q162" s="35">
        <f t="shared" si="57"/>
        <v>1.75</v>
      </c>
      <c r="R162" s="35">
        <f t="shared" si="57"/>
        <v>1.875</v>
      </c>
      <c r="S162" s="35">
        <f t="shared" si="57"/>
        <v>2</v>
      </c>
      <c r="T162" s="35">
        <f t="shared" si="57"/>
        <v>2.125</v>
      </c>
      <c r="U162" s="35">
        <f t="shared" si="57"/>
        <v>2.25</v>
      </c>
      <c r="V162" s="35">
        <f t="shared" si="57"/>
        <v>2.375</v>
      </c>
      <c r="W162" s="35">
        <f t="shared" si="57"/>
        <v>2.5</v>
      </c>
      <c r="Y162" s="67"/>
    </row>
    <row r="163" spans="1:25" x14ac:dyDescent="0.45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131" t="s">
        <v>128</v>
      </c>
      <c r="N163" s="131" t="s">
        <v>127</v>
      </c>
      <c r="O163" s="35">
        <v>-1</v>
      </c>
      <c r="P163" s="35">
        <f>O163+0.25</f>
        <v>-0.75</v>
      </c>
      <c r="Q163" s="35">
        <f t="shared" ref="Q163" si="58">P163+0.25</f>
        <v>-0.5</v>
      </c>
      <c r="R163" s="35">
        <f t="shared" ref="R163" si="59">Q163+0.25</f>
        <v>-0.25</v>
      </c>
      <c r="S163" s="35">
        <f t="shared" ref="S163" si="60">R163+0.25</f>
        <v>0</v>
      </c>
      <c r="T163" s="35">
        <f t="shared" ref="T163" si="61">S163+0.25</f>
        <v>0.25</v>
      </c>
      <c r="U163" s="35">
        <f>T163+0.25</f>
        <v>0.5</v>
      </c>
      <c r="V163" s="35">
        <f t="shared" ref="V163" si="62">U163+0.25</f>
        <v>0.75</v>
      </c>
      <c r="W163" s="35">
        <f t="shared" ref="W163" si="63">V163+0.25</f>
        <v>1</v>
      </c>
      <c r="X163" s="67"/>
      <c r="Y163" s="67"/>
    </row>
    <row r="164" spans="1:25" x14ac:dyDescent="0.45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35">
        <f t="shared" ref="M164:M172" si="64">( f_b_max - f_b_min ) * ( 0.5 * ( N164 + 1 ) ) + f_b_min</f>
        <v>3.5</v>
      </c>
      <c r="N164" s="35">
        <v>-1</v>
      </c>
      <c r="O164" s="35">
        <f t="shared" ref="O164:W172" ca="1" si="65">_o+_a*$S$177+_b*$N164+_c*O$163+_ab*$S$177*$N164+_bc*$N164*O$163+_ca*O$163*$S$177+_abc*$S$177*$N164*O$163</f>
        <v>8.0000450000000001</v>
      </c>
      <c r="P164" s="35">
        <f t="shared" ca="1" si="65"/>
        <v>8.3125413187500001</v>
      </c>
      <c r="Q164" s="35">
        <f t="shared" ca="1" si="65"/>
        <v>8.625037637500002</v>
      </c>
      <c r="R164" s="35">
        <f t="shared" ca="1" si="65"/>
        <v>8.937533956250002</v>
      </c>
      <c r="S164" s="35">
        <f t="shared" ca="1" si="65"/>
        <v>9.2500302750000003</v>
      </c>
      <c r="T164" s="35">
        <f t="shared" ca="1" si="65"/>
        <v>9.5625265937500021</v>
      </c>
      <c r="U164" s="35">
        <f t="shared" ca="1" si="65"/>
        <v>9.8750229124999986</v>
      </c>
      <c r="V164" s="35">
        <f t="shared" ca="1" si="65"/>
        <v>10.18751923125</v>
      </c>
      <c r="W164" s="35">
        <f t="shared" ca="1" si="65"/>
        <v>10.500015550000004</v>
      </c>
      <c r="X164" s="67"/>
      <c r="Y164" s="67"/>
    </row>
    <row r="165" spans="1:25" x14ac:dyDescent="0.45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35">
        <f t="shared" si="64"/>
        <v>3.9375</v>
      </c>
      <c r="N165" s="35">
        <f t="shared" ref="N165:N172" si="66">N164+0.25</f>
        <v>-0.75</v>
      </c>
      <c r="O165" s="35">
        <f t="shared" ca="1" si="65"/>
        <v>8.2500412499999989</v>
      </c>
      <c r="P165" s="35">
        <f t="shared" ca="1" si="65"/>
        <v>8.5078542007812494</v>
      </c>
      <c r="Q165" s="35">
        <f t="shared" ca="1" si="65"/>
        <v>8.7656671515625</v>
      </c>
      <c r="R165" s="35">
        <f t="shared" ca="1" si="65"/>
        <v>9.0234801023437488</v>
      </c>
      <c r="S165" s="35">
        <f t="shared" ca="1" si="65"/>
        <v>9.2812930531249993</v>
      </c>
      <c r="T165" s="35">
        <f t="shared" ca="1" si="65"/>
        <v>9.5391060039062499</v>
      </c>
      <c r="U165" s="35">
        <f t="shared" ca="1" si="65"/>
        <v>9.7969189546874986</v>
      </c>
      <c r="V165" s="35">
        <f t="shared" ca="1" si="65"/>
        <v>10.054731905468749</v>
      </c>
      <c r="W165" s="35">
        <f t="shared" ca="1" si="65"/>
        <v>10.31254485625</v>
      </c>
      <c r="X165" s="67"/>
      <c r="Y165" s="67"/>
    </row>
    <row r="166" spans="1:25" x14ac:dyDescent="0.45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35">
        <f t="shared" si="64"/>
        <v>4.375</v>
      </c>
      <c r="N166" s="35">
        <f t="shared" si="66"/>
        <v>-0.5</v>
      </c>
      <c r="O166" s="35">
        <f t="shared" ca="1" si="65"/>
        <v>8.5000374999999995</v>
      </c>
      <c r="P166" s="35">
        <f t="shared" ca="1" si="65"/>
        <v>8.7031670828125005</v>
      </c>
      <c r="Q166" s="35">
        <f t="shared" ca="1" si="65"/>
        <v>8.9062966656249998</v>
      </c>
      <c r="R166" s="35">
        <f t="shared" ca="1" si="65"/>
        <v>9.1094262484375008</v>
      </c>
      <c r="S166" s="35">
        <f t="shared" ca="1" si="65"/>
        <v>9.3125558312500001</v>
      </c>
      <c r="T166" s="35">
        <f t="shared" ca="1" si="65"/>
        <v>9.5156854140624993</v>
      </c>
      <c r="U166" s="35">
        <f t="shared" ca="1" si="65"/>
        <v>9.7188149968750004</v>
      </c>
      <c r="V166" s="35">
        <f t="shared" ca="1" si="65"/>
        <v>9.9219445796874997</v>
      </c>
      <c r="W166" s="35">
        <f t="shared" ca="1" si="65"/>
        <v>10.125074162500001</v>
      </c>
      <c r="X166" s="67"/>
      <c r="Y166" s="67"/>
    </row>
    <row r="167" spans="1:25" x14ac:dyDescent="0.45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L167" s="131" t="s">
        <v>2</v>
      </c>
      <c r="M167" s="35">
        <f t="shared" si="64"/>
        <v>4.8125</v>
      </c>
      <c r="N167" s="35">
        <f t="shared" si="66"/>
        <v>-0.25</v>
      </c>
      <c r="O167" s="35">
        <f t="shared" ca="1" si="65"/>
        <v>8.7500337499999983</v>
      </c>
      <c r="P167" s="35">
        <f t="shared" ca="1" si="65"/>
        <v>8.898479964843748</v>
      </c>
      <c r="Q167" s="35">
        <f t="shared" ca="1" si="65"/>
        <v>9.0469261796875013</v>
      </c>
      <c r="R167" s="35">
        <f t="shared" ca="1" si="65"/>
        <v>9.1953723945312493</v>
      </c>
      <c r="S167" s="35">
        <f t="shared" ca="1" si="65"/>
        <v>9.3438186093749991</v>
      </c>
      <c r="T167" s="35">
        <f t="shared" ca="1" si="65"/>
        <v>9.4922648242187488</v>
      </c>
      <c r="U167" s="35">
        <f t="shared" ca="1" si="65"/>
        <v>9.6407110390624968</v>
      </c>
      <c r="V167" s="35">
        <f t="shared" ca="1" si="65"/>
        <v>9.7891572539062501</v>
      </c>
      <c r="W167" s="35">
        <f t="shared" ca="1" si="65"/>
        <v>9.9376034687499999</v>
      </c>
      <c r="X167" s="67"/>
      <c r="Y167" s="67"/>
    </row>
    <row r="168" spans="1:25" x14ac:dyDescent="0.45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131" t="str">
        <f>f_b</f>
        <v>Depth</v>
      </c>
      <c r="M168" s="35">
        <f t="shared" si="64"/>
        <v>5.25</v>
      </c>
      <c r="N168" s="35">
        <f t="shared" si="66"/>
        <v>0</v>
      </c>
      <c r="O168" s="35">
        <f t="shared" ca="1" si="65"/>
        <v>9.0000299999999989</v>
      </c>
      <c r="P168" s="35">
        <f t="shared" ca="1" si="65"/>
        <v>9.0937928468749991</v>
      </c>
      <c r="Q168" s="35">
        <f t="shared" ca="1" si="65"/>
        <v>9.1875556937500011</v>
      </c>
      <c r="R168" s="35">
        <f t="shared" ca="1" si="65"/>
        <v>9.2813185406249996</v>
      </c>
      <c r="S168" s="35">
        <f t="shared" ca="1" si="65"/>
        <v>9.3750813874999999</v>
      </c>
      <c r="T168" s="35">
        <f t="shared" ca="1" si="65"/>
        <v>9.4688442343750001</v>
      </c>
      <c r="U168" s="35">
        <f t="shared" ca="1" si="65"/>
        <v>9.5626070812499986</v>
      </c>
      <c r="V168" s="35">
        <f t="shared" ca="1" si="65"/>
        <v>9.6563699281250006</v>
      </c>
      <c r="W168" s="35">
        <f t="shared" ca="1" si="65"/>
        <v>9.7501327750000009</v>
      </c>
      <c r="X168" s="67"/>
      <c r="Y168" s="67"/>
    </row>
    <row r="169" spans="1:25" x14ac:dyDescent="0.45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74" t="str">
        <f>f_b_units</f>
        <v>mm</v>
      </c>
      <c r="M169" s="35">
        <f t="shared" si="64"/>
        <v>5.6875</v>
      </c>
      <c r="N169" s="35">
        <f t="shared" si="66"/>
        <v>0.25</v>
      </c>
      <c r="O169" s="35">
        <f t="shared" ca="1" si="65"/>
        <v>9.2500262499999995</v>
      </c>
      <c r="P169" s="35">
        <f t="shared" ca="1" si="65"/>
        <v>9.2891057289062502</v>
      </c>
      <c r="Q169" s="35">
        <f t="shared" ca="1" si="65"/>
        <v>9.3281852078125009</v>
      </c>
      <c r="R169" s="35">
        <f t="shared" ca="1" si="65"/>
        <v>9.3672646867187499</v>
      </c>
      <c r="S169" s="35">
        <f t="shared" ca="1" si="65"/>
        <v>9.4063441656250006</v>
      </c>
      <c r="T169" s="35">
        <f t="shared" ca="1" si="65"/>
        <v>9.4454236445312514</v>
      </c>
      <c r="U169" s="35">
        <f t="shared" ca="1" si="65"/>
        <v>9.4845031234375003</v>
      </c>
      <c r="V169" s="35">
        <f t="shared" ca="1" si="65"/>
        <v>9.5235826023437511</v>
      </c>
      <c r="W169" s="35">
        <f t="shared" ca="1" si="65"/>
        <v>9.5626620812500018</v>
      </c>
      <c r="X169" s="67"/>
      <c r="Y169" s="67"/>
    </row>
    <row r="170" spans="1:25" x14ac:dyDescent="0.45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35">
        <f t="shared" si="64"/>
        <v>6.125</v>
      </c>
      <c r="N170" s="35">
        <f t="shared" si="66"/>
        <v>0.5</v>
      </c>
      <c r="O170" s="35">
        <f t="shared" ca="1" si="65"/>
        <v>9.5000224999999983</v>
      </c>
      <c r="P170" s="35">
        <f t="shared" ca="1" si="65"/>
        <v>9.4844186109374977</v>
      </c>
      <c r="Q170" s="35">
        <f t="shared" ca="1" si="65"/>
        <v>9.468814721874999</v>
      </c>
      <c r="R170" s="35">
        <f t="shared" ca="1" si="65"/>
        <v>9.4532108328124984</v>
      </c>
      <c r="S170" s="35">
        <f t="shared" ca="1" si="65"/>
        <v>9.4376069437499996</v>
      </c>
      <c r="T170" s="35">
        <f t="shared" ca="1" si="65"/>
        <v>9.4220030546875009</v>
      </c>
      <c r="U170" s="35">
        <f t="shared" ca="1" si="65"/>
        <v>9.4063991656250003</v>
      </c>
      <c r="V170" s="35">
        <f t="shared" ca="1" si="65"/>
        <v>9.3907952765625016</v>
      </c>
      <c r="W170" s="35">
        <f t="shared" ca="1" si="65"/>
        <v>9.375191387500001</v>
      </c>
      <c r="X170" s="67"/>
      <c r="Y170" s="67"/>
    </row>
    <row r="171" spans="1:25" x14ac:dyDescent="0.45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35">
        <f t="shared" si="64"/>
        <v>6.5625</v>
      </c>
      <c r="N171" s="35">
        <f t="shared" si="66"/>
        <v>0.75</v>
      </c>
      <c r="O171" s="35">
        <f t="shared" ca="1" si="65"/>
        <v>9.7500187499999988</v>
      </c>
      <c r="P171" s="35">
        <f t="shared" ca="1" si="65"/>
        <v>9.6797314929687488</v>
      </c>
      <c r="Q171" s="35">
        <f t="shared" ca="1" si="65"/>
        <v>9.6094442359374987</v>
      </c>
      <c r="R171" s="35">
        <f t="shared" ca="1" si="65"/>
        <v>9.5391569789062505</v>
      </c>
      <c r="S171" s="35">
        <f t="shared" ca="1" si="65"/>
        <v>9.4688697218750004</v>
      </c>
      <c r="T171" s="35">
        <f t="shared" ca="1" si="65"/>
        <v>9.3985824648437504</v>
      </c>
      <c r="U171" s="35">
        <f t="shared" ca="1" si="65"/>
        <v>9.3282952078125021</v>
      </c>
      <c r="V171" s="35">
        <f t="shared" ca="1" si="65"/>
        <v>9.258007950781252</v>
      </c>
      <c r="W171" s="35">
        <f t="shared" ca="1" si="65"/>
        <v>9.187720693750002</v>
      </c>
      <c r="X171" s="67"/>
      <c r="Y171" s="67"/>
    </row>
    <row r="172" spans="1:25" x14ac:dyDescent="0.45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35">
        <f t="shared" si="64"/>
        <v>7</v>
      </c>
      <c r="N172" s="35">
        <f t="shared" si="66"/>
        <v>1</v>
      </c>
      <c r="O172" s="35">
        <f t="shared" ca="1" si="65"/>
        <v>10.000014999999998</v>
      </c>
      <c r="P172" s="35">
        <f t="shared" ca="1" si="65"/>
        <v>9.8750443749999981</v>
      </c>
      <c r="Q172" s="35">
        <f t="shared" ca="1" si="65"/>
        <v>9.7500737500000003</v>
      </c>
      <c r="R172" s="35">
        <f t="shared" ca="1" si="65"/>
        <v>9.6251031249999972</v>
      </c>
      <c r="S172" s="35">
        <f t="shared" ca="1" si="65"/>
        <v>9.5001324999999994</v>
      </c>
      <c r="T172" s="35">
        <f t="shared" ca="1" si="65"/>
        <v>9.3751618749999981</v>
      </c>
      <c r="U172" s="35">
        <f t="shared" ca="1" si="65"/>
        <v>9.2501912499999985</v>
      </c>
      <c r="V172" s="35">
        <f t="shared" ca="1" si="65"/>
        <v>9.1252206250000008</v>
      </c>
      <c r="W172" s="35">
        <f t="shared" ca="1" si="65"/>
        <v>9.0002499999999976</v>
      </c>
      <c r="X172" s="67"/>
      <c r="Y172" s="67"/>
    </row>
    <row r="173" spans="1:25" x14ac:dyDescent="0.45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</row>
    <row r="174" spans="1:25" x14ac:dyDescent="0.45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R174" s="38"/>
      <c r="S174" s="37" t="s">
        <v>1</v>
      </c>
      <c r="U174" s="67"/>
      <c r="V174" s="67"/>
      <c r="W174" s="67"/>
      <c r="X174" s="67"/>
      <c r="Y174" s="67"/>
    </row>
    <row r="175" spans="1:25" x14ac:dyDescent="0.45">
      <c r="A175" s="67"/>
      <c r="B175" s="67"/>
      <c r="C175" s="67"/>
      <c r="D175" s="38"/>
      <c r="E175" s="67"/>
      <c r="F175" s="67"/>
      <c r="G175" s="67"/>
      <c r="H175" s="67"/>
      <c r="I175" s="38"/>
      <c r="J175" s="67"/>
      <c r="K175" s="67"/>
      <c r="L175" s="67"/>
      <c r="M175" s="66" t="s">
        <v>132</v>
      </c>
      <c r="N175" s="67"/>
      <c r="O175" s="67"/>
      <c r="P175" s="67"/>
      <c r="Q175" s="131" t="s">
        <v>129</v>
      </c>
      <c r="R175" s="139" t="s">
        <v>131</v>
      </c>
      <c r="S175" s="131" t="str">
        <f>f_a</f>
        <v>Feed Rate</v>
      </c>
      <c r="T175" s="139" t="s">
        <v>131</v>
      </c>
      <c r="U175" s="131" t="s">
        <v>130</v>
      </c>
      <c r="V175" s="67"/>
      <c r="W175" s="67"/>
      <c r="X175" s="67"/>
      <c r="Y175" s="67"/>
    </row>
    <row r="176" spans="1:25" x14ac:dyDescent="0.45">
      <c r="A176" s="67"/>
      <c r="B176" s="67"/>
      <c r="C176" s="131" t="str">
        <f>f_b</f>
        <v>Depth</v>
      </c>
      <c r="D176" s="67"/>
      <c r="E176" s="67"/>
      <c r="F176" s="67"/>
      <c r="G176" s="67"/>
      <c r="H176" s="67"/>
      <c r="I176" s="67"/>
      <c r="J176" s="131" t="str">
        <f>f_c</f>
        <v>Angle</v>
      </c>
      <c r="K176" s="67"/>
      <c r="L176" s="67"/>
      <c r="M176" s="82">
        <f ca="1">O164-O172+W172-W164</f>
        <v>-3.499735550000004</v>
      </c>
      <c r="N176" s="67"/>
      <c r="O176" s="67"/>
      <c r="P176" s="67"/>
      <c r="Q176" s="133">
        <f>f_a_min</f>
        <v>40</v>
      </c>
      <c r="R176" s="67"/>
      <c r="S176" s="140">
        <v>40</v>
      </c>
      <c r="T176" s="67"/>
      <c r="U176" s="133">
        <f>f_a_max</f>
        <v>60</v>
      </c>
      <c r="V176" s="67" t="str">
        <f>f_a_units</f>
        <v>mm/sec</v>
      </c>
      <c r="W176" s="67"/>
      <c r="X176" s="67"/>
      <c r="Y176" s="67"/>
    </row>
    <row r="177" spans="1:25" x14ac:dyDescent="0.45">
      <c r="A177" s="67"/>
      <c r="B177" s="67"/>
      <c r="C177" s="74" t="str">
        <f>f_b_units</f>
        <v>mm</v>
      </c>
      <c r="D177" s="67"/>
      <c r="E177" s="67"/>
      <c r="F177" s="67"/>
      <c r="G177" s="67"/>
      <c r="H177" s="67"/>
      <c r="I177" s="67"/>
      <c r="J177" s="74" t="str">
        <f>f_c_units</f>
        <v>deg</v>
      </c>
      <c r="K177" s="67"/>
      <c r="L177" s="67"/>
      <c r="M177" s="67"/>
      <c r="N177" s="67"/>
      <c r="O177" s="67"/>
      <c r="P177" s="67"/>
      <c r="Q177" s="144">
        <v>-1</v>
      </c>
      <c r="R177" s="147" t="s">
        <v>131</v>
      </c>
      <c r="S177" s="144">
        <f>2 * ( S176 - f_a_min ) / ( f_a_max - f_a_min ) - 1</f>
        <v>-1</v>
      </c>
      <c r="T177" s="147" t="s">
        <v>131</v>
      </c>
      <c r="U177" s="144">
        <v>1</v>
      </c>
      <c r="V177" s="67"/>
      <c r="W177" s="67"/>
      <c r="X177" s="67"/>
      <c r="Y177" s="67"/>
    </row>
    <row r="178" spans="1:25" x14ac:dyDescent="0.45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141" t="s">
        <v>127</v>
      </c>
      <c r="T178" s="67"/>
      <c r="U178" s="67"/>
      <c r="V178" s="67"/>
      <c r="W178" s="67"/>
      <c r="X178" s="67"/>
      <c r="Y178" s="67"/>
    </row>
    <row r="179" spans="1:25" x14ac:dyDescent="0.45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</row>
    <row r="180" spans="1:25" x14ac:dyDescent="0.45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</row>
    <row r="181" spans="1:25" x14ac:dyDescent="0.45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</row>
    <row r="182" spans="1:25" x14ac:dyDescent="0.45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</row>
    <row r="183" spans="1:25" x14ac:dyDescent="0.45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</row>
    <row r="184" spans="1:25" x14ac:dyDescent="0.45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</row>
    <row r="185" spans="1:25" x14ac:dyDescent="0.45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</row>
    <row r="186" spans="1:25" x14ac:dyDescent="0.45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</row>
    <row r="187" spans="1:25" x14ac:dyDescent="0.45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</row>
    <row r="188" spans="1:25" x14ac:dyDescent="0.45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</row>
    <row r="189" spans="1:25" x14ac:dyDescent="0.45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</row>
    <row r="190" spans="1:25" x14ac:dyDescent="0.45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</row>
    <row r="191" spans="1:25" x14ac:dyDescent="0.45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</row>
    <row r="192" spans="1:25" x14ac:dyDescent="0.45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</row>
    <row r="193" spans="1:25" x14ac:dyDescent="0.45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</row>
    <row r="194" spans="1:25" x14ac:dyDescent="0.45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</row>
    <row r="195" spans="1:25" x14ac:dyDescent="0.45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</row>
    <row r="196" spans="1:25" x14ac:dyDescent="0.45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</row>
    <row r="197" spans="1:25" x14ac:dyDescent="0.45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</row>
    <row r="198" spans="1:25" x14ac:dyDescent="0.45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</row>
    <row r="199" spans="1:25" x14ac:dyDescent="0.45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</row>
    <row r="200" spans="1:25" x14ac:dyDescent="0.45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</row>
    <row r="201" spans="1:25" x14ac:dyDescent="0.45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</row>
    <row r="202" spans="1:25" x14ac:dyDescent="0.45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</row>
    <row r="203" spans="1:25" x14ac:dyDescent="0.45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</row>
    <row r="204" spans="1:25" x14ac:dyDescent="0.45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</row>
    <row r="205" spans="1:25" x14ac:dyDescent="0.45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</row>
    <row r="206" spans="1:25" x14ac:dyDescent="0.45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</row>
    <row r="207" spans="1:25" x14ac:dyDescent="0.45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</row>
    <row r="208" spans="1:25" x14ac:dyDescent="0.45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</row>
    <row r="209" spans="1:25" x14ac:dyDescent="0.45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</row>
    <row r="210" spans="1:25" x14ac:dyDescent="0.45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</row>
    <row r="211" spans="1:25" x14ac:dyDescent="0.45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</row>
    <row r="212" spans="1:25" x14ac:dyDescent="0.45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</row>
    <row r="213" spans="1:25" x14ac:dyDescent="0.45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</row>
    <row r="214" spans="1:25" x14ac:dyDescent="0.45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</row>
  </sheetData>
  <mergeCells count="21">
    <mergeCell ref="X76:Y76"/>
    <mergeCell ref="X77:Y77"/>
    <mergeCell ref="X78:Y78"/>
    <mergeCell ref="E60:G60"/>
    <mergeCell ref="H60:J60"/>
    <mergeCell ref="E76:G76"/>
    <mergeCell ref="H76:J76"/>
    <mergeCell ref="B81:D81"/>
    <mergeCell ref="F81:H81"/>
    <mergeCell ref="H67:J67"/>
    <mergeCell ref="D67:F67"/>
    <mergeCell ref="B71:D71"/>
    <mergeCell ref="G19:H19"/>
    <mergeCell ref="X62:Y62"/>
    <mergeCell ref="X74:Y74"/>
    <mergeCell ref="X65:Y65"/>
    <mergeCell ref="X66:Y66"/>
    <mergeCell ref="U49:V49"/>
    <mergeCell ref="X64:Y64"/>
    <mergeCell ref="U48:V48"/>
    <mergeCell ref="U38:V38"/>
  </mergeCells>
  <conditionalFormatting sqref="D36:F36">
    <cfRule type="colorScale" priority="9">
      <colorScale>
        <cfvo type="min"/>
        <cfvo type="max"/>
        <color rgb="FFFFD1D1"/>
        <color rgb="FFC5FFCC"/>
      </colorScale>
    </cfRule>
  </conditionalFormatting>
  <conditionalFormatting sqref="D19:F22">
    <cfRule type="colorScale" priority="8">
      <colorScale>
        <cfvo type="min"/>
        <cfvo type="max"/>
        <color rgb="FFFFD1D1"/>
        <color rgb="FFC5FFCC"/>
      </colorScale>
    </cfRule>
  </conditionalFormatting>
  <conditionalFormatting sqref="D10:F17">
    <cfRule type="colorScale" priority="17">
      <colorScale>
        <cfvo type="min"/>
        <cfvo type="max"/>
        <color rgb="FFFFD1D1"/>
        <color rgb="FFC5FFCC"/>
      </colorScale>
    </cfRule>
  </conditionalFormatting>
  <conditionalFormatting sqref="O117:W12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40:Q46">
    <cfRule type="cellIs" dxfId="1" priority="3" operator="lessThanOrEqual">
      <formula>0.05</formula>
    </cfRule>
    <cfRule type="cellIs" dxfId="0" priority="4" operator="greaterThan">
      <formula>0.05</formula>
    </cfRule>
  </conditionalFormatting>
  <conditionalFormatting sqref="D39:J46 E47:K48 E56:K56">
    <cfRule type="colorScale" priority="19">
      <colorScale>
        <cfvo type="min"/>
        <cfvo type="max"/>
        <color rgb="FFFFD1D1"/>
        <color rgb="FFC5FFCC"/>
      </colorScale>
    </cfRule>
  </conditionalFormatting>
  <conditionalFormatting sqref="F87:H102 D103:F107">
    <cfRule type="colorScale" priority="20">
      <colorScale>
        <cfvo type="min"/>
        <cfvo type="max"/>
        <color rgb="FFFFD1D1"/>
        <color rgb="FFC5FFCC"/>
      </colorScale>
    </cfRule>
  </conditionalFormatting>
  <conditionalFormatting sqref="O141:W14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64:W17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ignoredErrors>
    <ignoredError sqref="F3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59</vt:i4>
      </vt:variant>
    </vt:vector>
  </HeadingPairs>
  <TitlesOfParts>
    <vt:vector size="61" baseType="lpstr">
      <vt:lpstr>2k2</vt:lpstr>
      <vt:lpstr>2k3</vt:lpstr>
      <vt:lpstr>'2k2'!__k</vt:lpstr>
      <vt:lpstr>__k</vt:lpstr>
      <vt:lpstr>'2k2'!__n</vt:lpstr>
      <vt:lpstr>__n</vt:lpstr>
      <vt:lpstr>'2k2'!_a</vt:lpstr>
      <vt:lpstr>_a</vt:lpstr>
      <vt:lpstr>'2k2'!_ab</vt:lpstr>
      <vt:lpstr>_ab</vt:lpstr>
      <vt:lpstr>'2k2'!_abc</vt:lpstr>
      <vt:lpstr>_abc</vt:lpstr>
      <vt:lpstr>'2k2'!_b</vt:lpstr>
      <vt:lpstr>_b</vt:lpstr>
      <vt:lpstr>'2k2'!_bc</vt:lpstr>
      <vt:lpstr>_bc</vt:lpstr>
      <vt:lpstr>_c</vt:lpstr>
      <vt:lpstr>'2k2'!_ca</vt:lpstr>
      <vt:lpstr>_ca</vt:lpstr>
      <vt:lpstr>'2k2'!_o</vt:lpstr>
      <vt:lpstr>_o</vt:lpstr>
      <vt:lpstr>'2k2'!A_</vt:lpstr>
      <vt:lpstr>A_</vt:lpstr>
      <vt:lpstr>'2k2'!A__</vt:lpstr>
      <vt:lpstr>A__</vt:lpstr>
      <vt:lpstr>'2k2'!B_</vt:lpstr>
      <vt:lpstr>B_</vt:lpstr>
      <vt:lpstr>'2k2'!B__</vt:lpstr>
      <vt:lpstr>B__</vt:lpstr>
      <vt:lpstr>C_</vt:lpstr>
      <vt:lpstr>C__</vt:lpstr>
      <vt:lpstr>'2k2'!f_a</vt:lpstr>
      <vt:lpstr>f_a</vt:lpstr>
      <vt:lpstr>'2k2'!f_a_max</vt:lpstr>
      <vt:lpstr>f_a_max</vt:lpstr>
      <vt:lpstr>'2k2'!f_a_min</vt:lpstr>
      <vt:lpstr>f_a_min</vt:lpstr>
      <vt:lpstr>'2k2'!f_a_units</vt:lpstr>
      <vt:lpstr>f_a_units</vt:lpstr>
      <vt:lpstr>'2k2'!f_b</vt:lpstr>
      <vt:lpstr>f_b</vt:lpstr>
      <vt:lpstr>'2k2'!f_b_max</vt:lpstr>
      <vt:lpstr>f_b_max</vt:lpstr>
      <vt:lpstr>'2k2'!f_b_min</vt:lpstr>
      <vt:lpstr>f_b_min</vt:lpstr>
      <vt:lpstr>'2k2'!f_b_units</vt:lpstr>
      <vt:lpstr>f_b_units</vt:lpstr>
      <vt:lpstr>'2k2'!f_c</vt:lpstr>
      <vt:lpstr>f_c</vt:lpstr>
      <vt:lpstr>'2k2'!f_c_max</vt:lpstr>
      <vt:lpstr>f_c_max</vt:lpstr>
      <vt:lpstr>'2k2'!f_c_min</vt:lpstr>
      <vt:lpstr>f_c_min</vt:lpstr>
      <vt:lpstr>'2k2'!f_c_units</vt:lpstr>
      <vt:lpstr>f_c_units</vt:lpstr>
      <vt:lpstr>'2k2'!r_name</vt:lpstr>
      <vt:lpstr>r_name</vt:lpstr>
      <vt:lpstr>'2k2'!r_symbol</vt:lpstr>
      <vt:lpstr>r_symbol</vt:lpstr>
      <vt:lpstr>'2k2'!r_units</vt:lpstr>
      <vt:lpstr>r_units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Stylianos Dritsas</dc:creator>
  <cp:lastModifiedBy>Stylianos Dritsas</cp:lastModifiedBy>
  <dcterms:created xsi:type="dcterms:W3CDTF">2018-10-12T00:48:24Z</dcterms:created>
  <dcterms:modified xsi:type="dcterms:W3CDTF">2020-10-01T04:12:28Z</dcterms:modified>
</cp:coreProperties>
</file>